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40" windowWidth="19440" windowHeight="12240"/>
  </bookViews>
  <sheets>
    <sheet name="PSG II - Überleitung Stat" sheetId="1" r:id="rId1"/>
  </sheets>
  <definedNames>
    <definedName name="_xlnm.Print_Area" localSheetId="0">'PSG II - Überleitung Stat'!$A$1:$M$74</definedName>
  </definedNames>
  <calcPr calcId="145621"/>
</workbook>
</file>

<file path=xl/calcChain.xml><?xml version="1.0" encoding="utf-8"?>
<calcChain xmlns="http://schemas.openxmlformats.org/spreadsheetml/2006/main">
  <c r="C6" i="1" l="1"/>
  <c r="L73" i="1" l="1"/>
  <c r="H73" i="1"/>
  <c r="E73" i="1"/>
  <c r="L72" i="1"/>
  <c r="H72" i="1"/>
  <c r="E72" i="1"/>
  <c r="L71" i="1"/>
  <c r="H71" i="1"/>
  <c r="E71" i="1"/>
  <c r="L69" i="1"/>
  <c r="H69" i="1"/>
  <c r="D60" i="1" l="1"/>
  <c r="D61" i="1"/>
  <c r="D62" i="1"/>
  <c r="J52" i="1"/>
  <c r="J51" i="1"/>
  <c r="J50" i="1"/>
  <c r="J49" i="1"/>
  <c r="C52" i="1"/>
  <c r="C51" i="1"/>
  <c r="C50" i="1"/>
  <c r="C49" i="1"/>
  <c r="E19" i="1"/>
  <c r="E18" i="1"/>
  <c r="E17" i="1"/>
  <c r="E16" i="1"/>
  <c r="B60" i="1" s="1"/>
  <c r="E15" i="1"/>
  <c r="I11" i="1"/>
  <c r="G16" i="1" s="1"/>
  <c r="L18" i="1" l="1"/>
  <c r="B59" i="1"/>
  <c r="L19" i="1"/>
  <c r="L17" i="1"/>
  <c r="B62" i="1"/>
  <c r="B63" i="1"/>
  <c r="B61" i="1"/>
  <c r="M16" i="1"/>
  <c r="L15" i="1"/>
  <c r="L16" i="1"/>
  <c r="I12" i="1"/>
  <c r="G51" i="1"/>
  <c r="G49" i="1"/>
  <c r="G50" i="1"/>
  <c r="G52" i="1"/>
  <c r="G17" i="1"/>
  <c r="M17" i="1" s="1"/>
  <c r="G15" i="1"/>
  <c r="M15" i="1" s="1"/>
  <c r="G18" i="1"/>
  <c r="G19" i="1"/>
  <c r="M18" i="1" l="1"/>
  <c r="M19" i="1"/>
  <c r="C34" i="1" l="1"/>
  <c r="C33" i="1"/>
  <c r="C32" i="1"/>
  <c r="C31" i="1"/>
  <c r="C30" i="1"/>
  <c r="C29" i="1"/>
  <c r="C28" i="1"/>
  <c r="C27" i="1"/>
  <c r="C26" i="1"/>
  <c r="C25" i="1"/>
  <c r="F34" i="1" l="1"/>
  <c r="C35" i="1"/>
  <c r="F33" i="1" l="1"/>
  <c r="F32" i="1"/>
  <c r="F31" i="1"/>
  <c r="F30" i="1"/>
  <c r="F29" i="1"/>
  <c r="F28" i="1"/>
  <c r="F27" i="1"/>
  <c r="F26" i="1"/>
  <c r="F25" i="1"/>
  <c r="B20" i="1"/>
  <c r="C20" i="1"/>
  <c r="D19" i="1"/>
  <c r="C63" i="1" s="1"/>
  <c r="E63" i="1" s="1"/>
  <c r="D18" i="1"/>
  <c r="C62" i="1" s="1"/>
  <c r="E62" i="1" s="1"/>
  <c r="D17" i="1"/>
  <c r="C61" i="1" s="1"/>
  <c r="E61" i="1" s="1"/>
  <c r="D16" i="1"/>
  <c r="C60" i="1" s="1"/>
  <c r="E60" i="1" s="1"/>
  <c r="D15" i="1"/>
  <c r="C59" i="1" s="1"/>
  <c r="G25" i="1" l="1"/>
  <c r="C64" i="1"/>
  <c r="E59" i="1"/>
  <c r="E64" i="1" s="1"/>
  <c r="H15" i="1"/>
  <c r="F15" i="1"/>
  <c r="H16" i="1"/>
  <c r="F16" i="1"/>
  <c r="F18" i="1"/>
  <c r="H18" i="1"/>
  <c r="H19" i="1"/>
  <c r="F19" i="1"/>
  <c r="H17" i="1"/>
  <c r="F17" i="1"/>
  <c r="K18" i="1"/>
  <c r="K19" i="1"/>
  <c r="K16" i="1"/>
  <c r="K15" i="1"/>
  <c r="G32" i="1"/>
  <c r="K17" i="1"/>
  <c r="G30" i="1"/>
  <c r="G28" i="1"/>
  <c r="G26" i="1"/>
  <c r="D20" i="1"/>
  <c r="I17" i="1" l="1"/>
  <c r="I15" i="1"/>
  <c r="C42" i="1"/>
  <c r="C43" i="1"/>
  <c r="B52" i="1" s="1"/>
  <c r="C40" i="1"/>
  <c r="B49" i="1" s="1"/>
  <c r="C41" i="1"/>
  <c r="B50" i="1" s="1"/>
  <c r="I18" i="1"/>
  <c r="I16" i="1"/>
  <c r="I19" i="1"/>
  <c r="H20" i="1"/>
  <c r="F35" i="1"/>
  <c r="K20" i="1"/>
  <c r="F20" i="1"/>
  <c r="H60" i="1" l="1"/>
  <c r="L60" i="1" s="1"/>
  <c r="H63" i="1"/>
  <c r="L63" i="1" s="1"/>
  <c r="H61" i="1"/>
  <c r="L61" i="1" s="1"/>
  <c r="D42" i="1"/>
  <c r="B51" i="1"/>
  <c r="H51" i="1" s="1"/>
  <c r="D40" i="1"/>
  <c r="H49" i="1"/>
  <c r="K49" i="1"/>
  <c r="H50" i="1"/>
  <c r="K50" i="1"/>
  <c r="H52" i="1"/>
  <c r="K52" i="1"/>
  <c r="C44" i="1"/>
  <c r="D41" i="1"/>
  <c r="D43" i="1"/>
  <c r="I20" i="1"/>
  <c r="I39" i="1"/>
  <c r="H62" i="1" l="1"/>
  <c r="K51" i="1"/>
  <c r="K53" i="1" s="1"/>
  <c r="H53" i="1"/>
  <c r="D44" i="1"/>
  <c r="H64" i="1" l="1"/>
  <c r="L62" i="1"/>
  <c r="L64" i="1" s="1"/>
  <c r="I41" i="1"/>
  <c r="I43" i="1" s="1"/>
  <c r="I44" i="1" s="1"/>
  <c r="J61" i="1" l="1"/>
  <c r="J60" i="1"/>
  <c r="J63" i="1"/>
  <c r="J62" i="1"/>
  <c r="M62" i="1"/>
  <c r="M61" i="1"/>
  <c r="M63" i="1"/>
  <c r="M60" i="1"/>
  <c r="D52" i="1"/>
  <c r="D51" i="1"/>
  <c r="D50" i="1"/>
  <c r="D49" i="1"/>
  <c r="M64" i="1" l="1"/>
  <c r="M65" i="1" s="1"/>
  <c r="E49" i="1"/>
  <c r="L49" i="1"/>
  <c r="E51" i="1"/>
  <c r="I62" i="1" s="1"/>
  <c r="B72" i="1" s="1"/>
  <c r="L51" i="1"/>
  <c r="E50" i="1"/>
  <c r="I61" i="1" s="1"/>
  <c r="B71" i="1" s="1"/>
  <c r="L50" i="1"/>
  <c r="E52" i="1"/>
  <c r="I63" i="1" s="1"/>
  <c r="B73" i="1" s="1"/>
  <c r="L52" i="1"/>
  <c r="C71" i="1" l="1"/>
  <c r="F49" i="1"/>
  <c r="I49" i="1" s="1"/>
  <c r="I60" i="1"/>
  <c r="B70" i="1" s="1"/>
  <c r="C73" i="1" s="1"/>
  <c r="M50" i="1"/>
  <c r="M49" i="1"/>
  <c r="M52" i="1"/>
  <c r="M51" i="1"/>
  <c r="F50" i="1"/>
  <c r="I50" i="1" s="1"/>
  <c r="F51" i="1"/>
  <c r="I51" i="1" s="1"/>
  <c r="F52" i="1"/>
  <c r="I52" i="1" s="1"/>
  <c r="C72" i="1" l="1"/>
  <c r="I53" i="1"/>
  <c r="F53" i="1"/>
</calcChain>
</file>

<file path=xl/sharedStrings.xml><?xml version="1.0" encoding="utf-8"?>
<sst xmlns="http://schemas.openxmlformats.org/spreadsheetml/2006/main" count="160" uniqueCount="105">
  <si>
    <t>Bewohner
mit eingeschr.
Alltagskompetenz</t>
  </si>
  <si>
    <t>Bewohner
ohne eingeschr.
Alltagskompetenz</t>
  </si>
  <si>
    <t>Bewohner 
Gesamt</t>
  </si>
  <si>
    <t>Stufe 0</t>
  </si>
  <si>
    <t>PS 1</t>
  </si>
  <si>
    <t>PS 2</t>
  </si>
  <si>
    <t>PS 3</t>
  </si>
  <si>
    <t>Ermittlung einrichtungseinheitlicher Eigenanteil</t>
  </si>
  <si>
    <t>Anzahl Bewohner</t>
  </si>
  <si>
    <t>Summe/Monat</t>
  </si>
  <si>
    <t>Pflegegrad 2</t>
  </si>
  <si>
    <t>Pflegegrad 3</t>
  </si>
  <si>
    <t>Pflegegrad 4</t>
  </si>
  <si>
    <t>Pflegegrad 5</t>
  </si>
  <si>
    <t>Differenz:</t>
  </si>
  <si>
    <t>PS 3 HF</t>
  </si>
  <si>
    <t>Anzahl 
Bewohner</t>
  </si>
  <si>
    <t>PG 2</t>
  </si>
  <si>
    <t>PG 3</t>
  </si>
  <si>
    <t>PG 4</t>
  </si>
  <si>
    <t>PG 5</t>
  </si>
  <si>
    <t>Pflegesätze zum
Stichtag</t>
  </si>
  <si>
    <t>Tage/Monat</t>
  </si>
  <si>
    <t>Gesamtbeträge</t>
  </si>
  <si>
    <t>Pflegesatzüberleitung gemäß PSG II (Kab-Entwurf)</t>
  </si>
  <si>
    <t>Eingeschränkte Alltagskompetenz (EAK)</t>
  </si>
  <si>
    <t>Bewohner</t>
  </si>
  <si>
    <t>ohne EAK</t>
  </si>
  <si>
    <t>→</t>
  </si>
  <si>
    <t>PG 1</t>
  </si>
  <si>
    <t>mit EAK</t>
  </si>
  <si>
    <t>Gesamt</t>
  </si>
  <si>
    <r>
      <t>Pflegesatz 2016</t>
    </r>
    <r>
      <rPr>
        <sz val="10"/>
        <color theme="1"/>
        <rFont val="Arial"/>
        <family val="2"/>
      </rPr>
      <t xml:space="preserve"> (bisher)</t>
    </r>
    <r>
      <rPr>
        <b/>
        <sz val="10"/>
        <color theme="1"/>
        <rFont val="Arial"/>
        <family val="2"/>
      </rPr>
      <t xml:space="preserve">
pro Tag</t>
    </r>
  </si>
  <si>
    <t>Überleitung</t>
  </si>
  <si>
    <t>Pflegegrad (PG)</t>
  </si>
  <si>
    <t>Pflegestufe (PS)</t>
  </si>
  <si>
    <t>Leistungsbeträge (LB)</t>
  </si>
  <si>
    <t>Unterkunft</t>
  </si>
  <si>
    <t>InvestBetrag</t>
  </si>
  <si>
    <t>Verpflegung</t>
  </si>
  <si>
    <t>Ausbildungszuschlag Altenpflege (§ 82a)</t>
  </si>
  <si>
    <t>Erträge aus pauschalen SGB XI-Leistungsbeträge 2016</t>
  </si>
  <si>
    <t>Gesamterträge pro Monat</t>
  </si>
  <si>
    <t>Entgelte Neu</t>
  </si>
  <si>
    <t>Erträge Pflegesatz Neu / Monat</t>
  </si>
  <si>
    <t>Pflegesatz Neu 2017</t>
  </si>
  <si>
    <r>
      <t xml:space="preserve">vereinbarter Pflegesatz 2016 </t>
    </r>
    <r>
      <rPr>
        <sz val="10"/>
        <color theme="1"/>
        <rFont val="Arial"/>
        <family val="2"/>
      </rPr>
      <t>(oder 2015)</t>
    </r>
  </si>
  <si>
    <t>Summen</t>
  </si>
  <si>
    <t>Name der Einrichtung:</t>
  </si>
  <si>
    <t>Musterheim</t>
  </si>
  <si>
    <t>Weitere Entgelte 2016 pro Tag</t>
  </si>
  <si>
    <t>Ehrenamt, _________</t>
  </si>
  <si>
    <r>
      <t>Weitere Entgelte 2016 pro Tag</t>
    </r>
    <r>
      <rPr>
        <b/>
        <sz val="8"/>
        <color theme="1"/>
        <rFont val="Arial"/>
        <family val="2"/>
      </rPr>
      <t xml:space="preserve"> 
</t>
    </r>
    <r>
      <rPr>
        <sz val="8"/>
        <color theme="1"/>
        <rFont val="Arial"/>
        <family val="2"/>
      </rPr>
      <t>(s. oben: U/V, Azubi, Ehrenamt, IB)</t>
    </r>
  </si>
  <si>
    <t>Erträge aus weiteren Entgelten pro Monat</t>
  </si>
  <si>
    <r>
      <t xml:space="preserve">Pauschale SGB XI-Leistungsbeträge n. § 43 ALT </t>
    </r>
    <r>
      <rPr>
        <i/>
        <sz val="8"/>
        <color theme="1"/>
        <rFont val="Arial"/>
        <family val="2"/>
      </rPr>
      <t>(Pflegesachleistung stationär nach Pflegestufen)</t>
    </r>
  </si>
  <si>
    <t>Berliner "Basisentgelt" 2015</t>
  </si>
  <si>
    <r>
      <t xml:space="preserve">Gesamtsumme Pflegesätze 
vor Umstellung  </t>
    </r>
    <r>
      <rPr>
        <sz val="6"/>
        <color theme="1"/>
        <rFont val="Arial"/>
        <family val="2"/>
      </rPr>
      <t>(PSG: "Gesamtbetrag der Pflegesätze, die dem Pflegeheim am 30. September 2016 zustehen"):</t>
    </r>
  </si>
  <si>
    <r>
      <rPr>
        <b/>
        <u/>
        <sz val="11"/>
        <color theme="1"/>
        <rFont val="Arial"/>
        <family val="2"/>
      </rPr>
      <t>Basis:</t>
    </r>
    <r>
      <rPr>
        <b/>
        <sz val="11"/>
        <color theme="1"/>
        <rFont val="Arial"/>
        <family val="2"/>
      </rPr>
      <t xml:space="preserve"> Bewohnerverteilung nach Pflegestufen 2016 (am 30.09.2016) --&gt; Gesamterträge aus Pflegeleistungen und -entgelten 2016</t>
    </r>
  </si>
  <si>
    <t>Gesamtsumme 
SGB XI-Leistungsbeträge neu:</t>
  </si>
  <si>
    <r>
      <rPr>
        <sz val="10"/>
        <color theme="1"/>
        <rFont val="Arial"/>
        <family val="2"/>
      </rPr>
      <t>übergeleitete</t>
    </r>
    <r>
      <rPr>
        <b/>
        <sz val="10"/>
        <color theme="1"/>
        <rFont val="Arial"/>
        <family val="2"/>
      </rPr>
      <t xml:space="preserve"> Bewohner</t>
    </r>
  </si>
  <si>
    <t>Pflegegrad</t>
  </si>
  <si>
    <r>
      <t xml:space="preserve">derzeitiger </t>
    </r>
    <r>
      <rPr>
        <b/>
        <i/>
        <u/>
        <sz val="10"/>
        <color theme="1"/>
        <rFont val="Arial"/>
        <family val="2"/>
      </rPr>
      <t>pflegebedingter</t>
    </r>
    <r>
      <rPr>
        <b/>
        <i/>
        <sz val="10"/>
        <color theme="1"/>
        <rFont val="Arial"/>
        <family val="2"/>
      </rPr>
      <t xml:space="preserve"> Eigenanteil 2016 </t>
    </r>
    <r>
      <rPr>
        <i/>
        <sz val="8"/>
        <color theme="1"/>
        <rFont val="Arial"/>
        <family val="2"/>
      </rPr>
      <t>(Pflegesatz - SGB XI-LB 2016)</t>
    </r>
  </si>
  <si>
    <r>
      <t xml:space="preserve">derzeitiger </t>
    </r>
    <r>
      <rPr>
        <b/>
        <i/>
        <u/>
        <sz val="10"/>
        <color theme="1"/>
        <rFont val="Arial"/>
        <family val="2"/>
      </rPr>
      <t>tatsächlicher</t>
    </r>
    <r>
      <rPr>
        <b/>
        <i/>
        <sz val="10"/>
        <color theme="1"/>
        <rFont val="Arial"/>
        <family val="2"/>
      </rPr>
      <t xml:space="preserve"> Eigenanteil 2016 </t>
    </r>
    <r>
      <rPr>
        <i/>
        <sz val="8"/>
        <color theme="1"/>
        <rFont val="Arial"/>
        <family val="2"/>
      </rPr>
      <t>(Pflegesatz+Entgelte - SGB XI-LB 2016)</t>
    </r>
  </si>
  <si>
    <t>Erträge aus Pflegesatz 2016 / Monat
(30,42 Tage)</t>
  </si>
  <si>
    <r>
      <rPr>
        <b/>
        <u/>
        <sz val="11"/>
        <color theme="1"/>
        <rFont val="Arial"/>
        <family val="2"/>
      </rPr>
      <t xml:space="preserve">Überleitung PS-&gt;PG </t>
    </r>
    <r>
      <rPr>
        <b/>
        <sz val="11"/>
        <color theme="1"/>
        <rFont val="Arial"/>
        <family val="2"/>
      </rPr>
      <t>gem. § 140 SGB XI-neu "Anzuwendendes Recht und Überleitung in die Pflegegrade"</t>
    </r>
  </si>
  <si>
    <r>
      <rPr>
        <b/>
        <u/>
        <sz val="11"/>
        <color theme="1"/>
        <rFont val="Arial"/>
        <family val="2"/>
      </rPr>
      <t>Leistungsbetrag neu</t>
    </r>
    <r>
      <rPr>
        <b/>
        <sz val="11"/>
        <color theme="1"/>
        <rFont val="Arial"/>
        <family val="2"/>
      </rPr>
      <t xml:space="preserve"> gemäß § 43 SGB XI ab 2017</t>
    </r>
  </si>
  <si>
    <t>übergeleiteter Pflegesatz 2017</t>
  </si>
  <si>
    <t>a) aus LB pro Tag</t>
  </si>
  <si>
    <t>b) aus EEEA</t>
  </si>
  <si>
    <t xml:space="preserve"> = budgetneutral (s. oben)</t>
  </si>
  <si>
    <t xml:space="preserve"> = "Pflegebudget"</t>
  </si>
  <si>
    <r>
      <t xml:space="preserve">SGB XI-Leistungsbeträge n. § 43 </t>
    </r>
    <r>
      <rPr>
        <b/>
        <i/>
        <sz val="10"/>
        <color rgb="FFFF0000"/>
        <rFont val="Arial"/>
        <family val="2"/>
      </rPr>
      <t>Neu</t>
    </r>
    <r>
      <rPr>
        <b/>
        <i/>
        <sz val="10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 xml:space="preserve">(Pflegesachleistung stationär nach </t>
    </r>
    <r>
      <rPr>
        <b/>
        <i/>
        <sz val="8"/>
        <color theme="1"/>
        <rFont val="Arial"/>
        <family val="2"/>
      </rPr>
      <t>Pflegegraden</t>
    </r>
    <r>
      <rPr>
        <i/>
        <sz val="8"/>
        <color theme="1"/>
        <rFont val="Arial"/>
        <family val="2"/>
      </rPr>
      <t>)</t>
    </r>
  </si>
  <si>
    <r>
      <t xml:space="preserve">Einrichtungseinheitlicher Eigenanteil (EEEA) - </t>
    </r>
    <r>
      <rPr>
        <i/>
        <sz val="6"/>
        <color theme="1"/>
        <rFont val="Arial"/>
        <family val="2"/>
      </rPr>
      <t>(pflegebedingter Eigenanteil 2017)</t>
    </r>
  </si>
  <si>
    <r>
      <rPr>
        <b/>
        <i/>
        <u/>
        <sz val="10"/>
        <color theme="1"/>
        <rFont val="Arial"/>
        <family val="2"/>
      </rPr>
      <t>tatsächlicher</t>
    </r>
    <r>
      <rPr>
        <b/>
        <i/>
        <sz val="10"/>
        <color theme="1"/>
        <rFont val="Arial"/>
        <family val="2"/>
      </rPr>
      <t xml:space="preserve"> Eigenanteil 2017 </t>
    </r>
    <r>
      <rPr>
        <i/>
        <sz val="8"/>
        <color theme="1"/>
        <rFont val="Arial"/>
        <family val="2"/>
      </rPr>
      <t>(EEEA+weitere Entgelte - SGB XI-LB 2016)</t>
    </r>
  </si>
  <si>
    <r>
      <rPr>
        <b/>
        <u/>
        <sz val="11"/>
        <color theme="1"/>
        <rFont val="Arial"/>
        <family val="2"/>
      </rPr>
      <t>Alternative Pflegesatzüberleitung</t>
    </r>
    <r>
      <rPr>
        <b/>
        <sz val="11"/>
        <color theme="1"/>
        <rFont val="Arial"/>
        <family val="2"/>
      </rPr>
      <t xml:space="preserve"> gem. § 92d / e SGB XI-neu "Alternative Überleitung der Pflegesätze" ab 30.09.2016</t>
    </r>
  </si>
  <si>
    <r>
      <rPr>
        <b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 Eigene Daten sind in gelb markierte Felder einzutragen, derzeitige Grunddaten entstammen der Berliner Pflegestatistik 2013 (Bewohnerstruktur) und dem "Basisentgelt 2016"</t>
    </r>
  </si>
  <si>
    <t>Erträge aus EEEA / Monat</t>
  </si>
  <si>
    <t>SGB XI Leistungs-beträge
NEU</t>
  </si>
  <si>
    <t>Erträge auf SGB XI LB / Monat</t>
  </si>
  <si>
    <t>Anzahl Bewohner
zum Stichtag</t>
  </si>
  <si>
    <t>Gesamt-beträge</t>
  </si>
  <si>
    <t>Einrichtungseinheitlicher Eigenanteil (EEEA) 2017 pro Bewohner im Monat</t>
  </si>
  <si>
    <t>ÄZ ambulant 
neu</t>
  </si>
  <si>
    <t>ÄZ stationär 
neu</t>
  </si>
  <si>
    <t>NBA 
Punktwerte</t>
  </si>
  <si>
    <t>ÄZ Minutenaufwand Rothgang</t>
  </si>
  <si>
    <t>ab 12,5 bis unter 27 Gesamtpunkten in den Pflegegrad 1: geringe Beeinträchtigungen der Selbständig-keit oder der Fähigkeiten,</t>
  </si>
  <si>
    <t>ab 27 bis unter 47,5 Gesamtpunkten in den Pflegegrad 2: erhebliche Beeinträchtigungen der Selbstän-digkeit oder der Fähigkeiten</t>
  </si>
  <si>
    <t>ab 47,5 bis unter 70 Gesamtpunkten in den Pflegegrad 3: schwere Beeinträchtigungen der Selbständig-keit oder der Fähigkeiten</t>
  </si>
  <si>
    <t>ab 70 bis unter 90 Gesamtpunkten in den Pflegegrad 4: schwerste Beeinträchtigungen der Selbständig-keit oder der Fähigkeiten</t>
  </si>
  <si>
    <t>ab 90 bis 100 Gesamtpunkten in den Pflegegrad 5: schwerste Beeinträchtigungen der Selbständigkeit oder der Fähigkeiten mit besonderen Anforderungen an die pflegerische Versorgung</t>
  </si>
  <si>
    <r>
      <t xml:space="preserve">ÄZ NBA Punktwert </t>
    </r>
    <r>
      <rPr>
        <sz val="10"/>
        <color theme="1"/>
        <rFont val="Calibri"/>
        <family val="2"/>
        <scheme val="minor"/>
      </rPr>
      <t>(Basis Mittelwert des Punktwertbereichs)</t>
    </r>
  </si>
  <si>
    <r>
      <t xml:space="preserve">TAPF Überleitung gem. Äquivalenzziffern 
</t>
    </r>
    <r>
      <rPr>
        <sz val="10"/>
        <color theme="1"/>
        <rFont val="Calibri"/>
        <family val="2"/>
        <scheme val="minor"/>
      </rPr>
      <t>(gem. § 92e)</t>
    </r>
  </si>
  <si>
    <t>Mittelwert Minutenaufwand nach EvIS-Studie Rothgang</t>
  </si>
  <si>
    <r>
      <rPr>
        <i/>
        <sz val="10"/>
        <color theme="1"/>
        <rFont val="Arial"/>
        <family val="2"/>
      </rPr>
      <t xml:space="preserve">Berliner "Basisentgelt" 2016 </t>
    </r>
    <r>
      <rPr>
        <i/>
        <sz val="8"/>
        <color theme="1"/>
        <rFont val="Arial"/>
        <family val="2"/>
      </rPr>
      <t>(+2,14%, personalschlüsseländerung Stufe 0 +1,55€)</t>
    </r>
  </si>
  <si>
    <t>Summe sonstige Entgelte / Tag</t>
  </si>
  <si>
    <t>Summe sonstige Entgelte / Monat</t>
  </si>
  <si>
    <t>Zusammenfassung / Überblick im Sinne Stichtag 30.09.2016</t>
  </si>
  <si>
    <t>Überleitung 
Pflegegrade (PG)</t>
  </si>
  <si>
    <t>Pflegesatz pro Tag NEU 2017</t>
  </si>
  <si>
    <t>davon EEEA pro Tag</t>
  </si>
  <si>
    <r>
      <t xml:space="preserve">Leistungsbetrag PSG II ambulant </t>
    </r>
    <r>
      <rPr>
        <sz val="10"/>
        <color theme="1"/>
        <rFont val="Calibri"/>
        <family val="2"/>
        <scheme val="minor"/>
      </rPr>
      <t>(2017)</t>
    </r>
  </si>
  <si>
    <t>Leistungsbetrag PSG II stationär (2017)</t>
  </si>
  <si>
    <t>Zum Vergleich: Äquivalenz des errechneten Pflegesatzes zu Äquivalenzziffern im Kontext PSG II</t>
  </si>
  <si>
    <t>Äquivalenz ÄZ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</si>
</sst>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0.0"/>
    <numFmt numFmtId="166" formatCode="_-* #,##0\ &quot;€&quot;_-;\-* #,##0\ &quot;€&quot;_-;_-* &quot;-&quot;??\ &quot;€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10"/>
      <color theme="3"/>
      <name val="Arial"/>
      <family val="2"/>
    </font>
    <font>
      <b/>
      <sz val="11"/>
      <color theme="3"/>
      <name val="Arial"/>
      <family val="2"/>
    </font>
    <font>
      <i/>
      <sz val="9"/>
      <color theme="1"/>
      <name val="Arial"/>
      <family val="2"/>
    </font>
    <font>
      <b/>
      <u/>
      <sz val="11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6"/>
      <color theme="1"/>
      <name val="Arial"/>
      <family val="2"/>
    </font>
    <font>
      <b/>
      <i/>
      <u/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i/>
      <sz val="8"/>
      <color theme="1"/>
      <name val="Arial"/>
      <family val="2"/>
    </font>
    <font>
      <i/>
      <sz val="6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44" fontId="4" fillId="0" borderId="25" xfId="0" applyNumberFormat="1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0" fontId="5" fillId="5" borderId="38" xfId="0" applyFont="1" applyFill="1" applyBorder="1" applyAlignment="1">
      <alignment vertical="center" wrapText="1"/>
    </xf>
    <xf numFmtId="164" fontId="4" fillId="0" borderId="0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horizontal="right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/>
    <xf numFmtId="0" fontId="8" fillId="2" borderId="0" xfId="0" applyFont="1" applyFill="1" applyBorder="1" applyAlignment="1">
      <alignment vertical="center"/>
    </xf>
    <xf numFmtId="164" fontId="13" fillId="10" borderId="25" xfId="0" applyNumberFormat="1" applyFont="1" applyFill="1" applyBorder="1" applyAlignment="1">
      <alignment horizontal="center" vertical="center"/>
    </xf>
    <xf numFmtId="164" fontId="13" fillId="10" borderId="22" xfId="0" applyNumberFormat="1" applyFont="1" applyFill="1" applyBorder="1" applyAlignment="1">
      <alignment horizontal="center" vertical="center"/>
    </xf>
    <xf numFmtId="164" fontId="13" fillId="10" borderId="23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164" fontId="8" fillId="2" borderId="21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8" fillId="2" borderId="35" xfId="0" applyFont="1" applyFill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44" fontId="8" fillId="2" borderId="0" xfId="1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2" borderId="0" xfId="0" applyFont="1" applyFill="1" applyAlignment="1">
      <alignment vertical="center" wrapText="1"/>
    </xf>
    <xf numFmtId="164" fontId="3" fillId="5" borderId="40" xfId="0" applyNumberFormat="1" applyFont="1" applyFill="1" applyBorder="1" applyAlignment="1">
      <alignment vertical="center"/>
    </xf>
    <xf numFmtId="0" fontId="8" fillId="11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/>
    </xf>
    <xf numFmtId="0" fontId="8" fillId="2" borderId="0" xfId="0" applyFont="1" applyFill="1"/>
    <xf numFmtId="164" fontId="8" fillId="2" borderId="0" xfId="0" applyNumberFormat="1" applyFont="1" applyFill="1"/>
    <xf numFmtId="0" fontId="8" fillId="0" borderId="1" xfId="0" applyFont="1" applyBorder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12" borderId="1" xfId="0" applyFont="1" applyFill="1" applyBorder="1"/>
    <xf numFmtId="0" fontId="14" fillId="12" borderId="29" xfId="0" applyFont="1" applyFill="1" applyBorder="1"/>
    <xf numFmtId="0" fontId="13" fillId="6" borderId="2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11" borderId="50" xfId="0" applyFont="1" applyFill="1" applyBorder="1" applyAlignment="1">
      <alignment horizontal="center" vertical="center"/>
    </xf>
    <xf numFmtId="164" fontId="8" fillId="11" borderId="21" xfId="0" applyNumberFormat="1" applyFont="1" applyFill="1" applyBorder="1" applyAlignment="1">
      <alignment horizontal="center" vertical="center"/>
    </xf>
    <xf numFmtId="164" fontId="8" fillId="11" borderId="19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4" fillId="2" borderId="54" xfId="0" applyNumberFormat="1" applyFont="1" applyFill="1" applyBorder="1" applyAlignment="1">
      <alignment horizontal="right" vertical="center"/>
    </xf>
    <xf numFmtId="164" fontId="6" fillId="5" borderId="44" xfId="0" applyNumberFormat="1" applyFont="1" applyFill="1" applyBorder="1" applyAlignment="1">
      <alignment vertical="center"/>
    </xf>
    <xf numFmtId="164" fontId="3" fillId="0" borderId="55" xfId="0" applyNumberFormat="1" applyFont="1" applyBorder="1" applyAlignment="1">
      <alignment vertical="center"/>
    </xf>
    <xf numFmtId="164" fontId="6" fillId="12" borderId="11" xfId="0" applyNumberFormat="1" applyFont="1" applyFill="1" applyBorder="1" applyAlignment="1">
      <alignment vertical="center"/>
    </xf>
    <xf numFmtId="0" fontId="5" fillId="3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 wrapText="1"/>
    </xf>
    <xf numFmtId="164" fontId="6" fillId="12" borderId="21" xfId="0" applyNumberFormat="1" applyFont="1" applyFill="1" applyBorder="1" applyAlignment="1">
      <alignment vertical="center"/>
    </xf>
    <xf numFmtId="164" fontId="6" fillId="0" borderId="22" xfId="0" applyNumberFormat="1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164" fontId="4" fillId="13" borderId="53" xfId="0" applyNumberFormat="1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vertical="center"/>
    </xf>
    <xf numFmtId="0" fontId="5" fillId="3" borderId="43" xfId="0" applyFont="1" applyFill="1" applyBorder="1" applyAlignment="1">
      <alignment vertical="center" wrapText="1"/>
    </xf>
    <xf numFmtId="164" fontId="6" fillId="0" borderId="10" xfId="0" applyNumberFormat="1" applyFont="1" applyBorder="1" applyAlignment="1">
      <alignment vertical="center"/>
    </xf>
    <xf numFmtId="0" fontId="5" fillId="14" borderId="24" xfId="0" applyFont="1" applyFill="1" applyBorder="1" applyAlignment="1">
      <alignment vertical="center" wrapText="1"/>
    </xf>
    <xf numFmtId="0" fontId="5" fillId="14" borderId="25" xfId="0" applyFont="1" applyFill="1" applyBorder="1" applyAlignment="1">
      <alignment vertical="center" wrapText="1"/>
    </xf>
    <xf numFmtId="164" fontId="6" fillId="14" borderId="21" xfId="0" applyNumberFormat="1" applyFont="1" applyFill="1" applyBorder="1" applyAlignment="1">
      <alignment vertical="center"/>
    </xf>
    <xf numFmtId="164" fontId="6" fillId="14" borderId="22" xfId="0" applyNumberFormat="1" applyFont="1" applyFill="1" applyBorder="1" applyAlignment="1">
      <alignment vertical="center"/>
    </xf>
    <xf numFmtId="164" fontId="3" fillId="14" borderId="28" xfId="0" applyNumberFormat="1" applyFont="1" applyFill="1" applyBorder="1" applyAlignment="1">
      <alignment vertical="center"/>
    </xf>
    <xf numFmtId="164" fontId="3" fillId="14" borderId="23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7" fillId="3" borderId="21" xfId="0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164" fontId="11" fillId="13" borderId="46" xfId="0" applyNumberFormat="1" applyFont="1" applyFill="1" applyBorder="1" applyAlignment="1">
      <alignment horizontal="left" vertical="center" wrapText="1"/>
    </xf>
    <xf numFmtId="0" fontId="4" fillId="11" borderId="10" xfId="0" applyFont="1" applyFill="1" applyBorder="1" applyAlignment="1">
      <alignment vertical="center"/>
    </xf>
    <xf numFmtId="164" fontId="4" fillId="0" borderId="30" xfId="0" applyNumberFormat="1" applyFont="1" applyBorder="1" applyAlignment="1">
      <alignment horizontal="right" vertical="center"/>
    </xf>
    <xf numFmtId="164" fontId="3" fillId="13" borderId="26" xfId="0" applyNumberFormat="1" applyFont="1" applyFill="1" applyBorder="1" applyAlignment="1">
      <alignment horizontal="left" vertical="center" wrapText="1"/>
    </xf>
    <xf numFmtId="0" fontId="5" fillId="3" borderId="56" xfId="0" applyFont="1" applyFill="1" applyBorder="1" applyAlignment="1">
      <alignment vertical="center" wrapText="1"/>
    </xf>
    <xf numFmtId="164" fontId="6" fillId="12" borderId="42" xfId="0" applyNumberFormat="1" applyFont="1" applyFill="1" applyBorder="1" applyAlignment="1">
      <alignment vertical="center"/>
    </xf>
    <xf numFmtId="164" fontId="8" fillId="11" borderId="22" xfId="0" applyNumberFormat="1" applyFont="1" applyFill="1" applyBorder="1" applyAlignment="1">
      <alignment horizontal="right" vertical="center"/>
    </xf>
    <xf numFmtId="0" fontId="3" fillId="11" borderId="28" xfId="0" applyFont="1" applyFill="1" applyBorder="1" applyAlignment="1">
      <alignment horizontal="left" vertical="center" wrapText="1"/>
    </xf>
    <xf numFmtId="164" fontId="4" fillId="11" borderId="23" xfId="0" applyNumberFormat="1" applyFont="1" applyFill="1" applyBorder="1" applyAlignment="1">
      <alignment horizontal="right" vertical="center"/>
    </xf>
    <xf numFmtId="0" fontId="5" fillId="5" borderId="47" xfId="0" applyFont="1" applyFill="1" applyBorder="1" applyAlignment="1">
      <alignment vertical="center" wrapText="1"/>
    </xf>
    <xf numFmtId="164" fontId="3" fillId="5" borderId="46" xfId="0" applyNumberFormat="1" applyFont="1" applyFill="1" applyBorder="1" applyAlignment="1">
      <alignment vertical="center"/>
    </xf>
    <xf numFmtId="0" fontId="8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right" vertical="center"/>
    </xf>
    <xf numFmtId="164" fontId="23" fillId="0" borderId="4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/>
    <xf numFmtId="164" fontId="23" fillId="2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vertical="center" wrapText="1"/>
    </xf>
    <xf numFmtId="0" fontId="8" fillId="2" borderId="0" xfId="0" applyFont="1" applyFill="1" applyAlignment="1">
      <alignment wrapText="1"/>
    </xf>
    <xf numFmtId="164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2" fontId="8" fillId="0" borderId="0" xfId="0" applyNumberFormat="1" applyFont="1"/>
    <xf numFmtId="165" fontId="8" fillId="0" borderId="0" xfId="0" applyNumberFormat="1" applyFont="1"/>
    <xf numFmtId="0" fontId="24" fillId="0" borderId="44" xfId="0" quotePrefix="1" applyFont="1" applyBorder="1" applyAlignment="1">
      <alignment horizontal="center"/>
    </xf>
    <xf numFmtId="47" fontId="24" fillId="0" borderId="57" xfId="0" quotePrefix="1" applyNumberFormat="1" applyFont="1" applyBorder="1" applyAlignment="1">
      <alignment horizontal="center"/>
    </xf>
    <xf numFmtId="0" fontId="24" fillId="0" borderId="38" xfId="0" applyFont="1" applyBorder="1" applyAlignment="1">
      <alignment wrapText="1"/>
    </xf>
    <xf numFmtId="47" fontId="24" fillId="0" borderId="40" xfId="0" applyNumberFormat="1" applyFont="1" applyBorder="1" applyAlignment="1">
      <alignment wrapText="1"/>
    </xf>
    <xf numFmtId="164" fontId="8" fillId="2" borderId="0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6" fillId="0" borderId="0" xfId="0" applyFont="1" applyAlignment="1">
      <alignment vertical="top"/>
    </xf>
    <xf numFmtId="0" fontId="25" fillId="0" borderId="31" xfId="0" applyFont="1" applyBorder="1" applyAlignment="1">
      <alignment horizontal="center" vertical="center" wrapText="1"/>
    </xf>
    <xf numFmtId="0" fontId="25" fillId="0" borderId="30" xfId="0" applyFont="1" applyBorder="1"/>
    <xf numFmtId="0" fontId="25" fillId="0" borderId="26" xfId="0" applyFont="1" applyBorder="1"/>
    <xf numFmtId="0" fontId="27" fillId="15" borderId="25" xfId="0" applyFont="1" applyFill="1" applyBorder="1" applyAlignment="1">
      <alignment horizontal="center" vertical="center" wrapText="1"/>
    </xf>
    <xf numFmtId="2" fontId="27" fillId="15" borderId="22" xfId="0" applyNumberFormat="1" applyFont="1" applyFill="1" applyBorder="1" applyAlignment="1">
      <alignment horizontal="left"/>
    </xf>
    <xf numFmtId="44" fontId="8" fillId="2" borderId="0" xfId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7" borderId="58" xfId="0" applyFont="1" applyFill="1" applyBorder="1" applyAlignment="1">
      <alignment horizontal="center" vertical="center" wrapText="1"/>
    </xf>
    <xf numFmtId="164" fontId="8" fillId="17" borderId="1" xfId="0" applyNumberFormat="1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164" fontId="8" fillId="17" borderId="58" xfId="0" applyNumberFormat="1" applyFont="1" applyFill="1" applyBorder="1" applyAlignment="1">
      <alignment horizontal="right"/>
    </xf>
    <xf numFmtId="164" fontId="8" fillId="17" borderId="1" xfId="0" applyNumberFormat="1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164" fontId="23" fillId="17" borderId="58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center"/>
    </xf>
    <xf numFmtId="0" fontId="7" fillId="2" borderId="0" xfId="0" applyFont="1" applyFill="1"/>
    <xf numFmtId="0" fontId="17" fillId="3" borderId="1" xfId="0" applyFont="1" applyFill="1" applyBorder="1" applyAlignment="1">
      <alignment horizontal="center" wrapText="1"/>
    </xf>
    <xf numFmtId="0" fontId="17" fillId="0" borderId="0" xfId="0" applyFont="1"/>
    <xf numFmtId="164" fontId="17" fillId="0" borderId="1" xfId="0" applyNumberFormat="1" applyFont="1" applyBorder="1" applyAlignment="1">
      <alignment horizontal="center"/>
    </xf>
    <xf numFmtId="0" fontId="4" fillId="3" borderId="59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/>
    </xf>
    <xf numFmtId="0" fontId="27" fillId="15" borderId="24" xfId="0" applyFont="1" applyFill="1" applyBorder="1" applyAlignment="1">
      <alignment horizontal="center" vertical="center" wrapText="1"/>
    </xf>
    <xf numFmtId="2" fontId="27" fillId="15" borderId="21" xfId="0" applyNumberFormat="1" applyFont="1" applyFill="1" applyBorder="1"/>
    <xf numFmtId="2" fontId="28" fillId="15" borderId="21" xfId="0" applyNumberFormat="1" applyFont="1" applyFill="1" applyBorder="1"/>
    <xf numFmtId="2" fontId="28" fillId="15" borderId="28" xfId="0" applyNumberFormat="1" applyFont="1" applyFill="1" applyBorder="1"/>
    <xf numFmtId="0" fontId="27" fillId="16" borderId="47" xfId="0" applyFont="1" applyFill="1" applyBorder="1" applyAlignment="1">
      <alignment horizontal="center" wrapText="1"/>
    </xf>
    <xf numFmtId="0" fontId="27" fillId="16" borderId="44" xfId="0" applyFont="1" applyFill="1" applyBorder="1"/>
    <xf numFmtId="0" fontId="27" fillId="16" borderId="46" xfId="0" applyFont="1" applyFill="1" applyBorder="1"/>
    <xf numFmtId="0" fontId="27" fillId="7" borderId="24" xfId="0" applyFont="1" applyFill="1" applyBorder="1" applyAlignment="1">
      <alignment horizontal="center" vertical="center" wrapText="1"/>
    </xf>
    <xf numFmtId="0" fontId="27" fillId="7" borderId="25" xfId="0" applyFont="1" applyFill="1" applyBorder="1" applyAlignment="1">
      <alignment horizontal="center" vertical="center" wrapText="1"/>
    </xf>
    <xf numFmtId="166" fontId="27" fillId="7" borderId="21" xfId="1" applyNumberFormat="1" applyFont="1" applyFill="1" applyBorder="1"/>
    <xf numFmtId="166" fontId="27" fillId="7" borderId="28" xfId="1" applyNumberFormat="1" applyFont="1" applyFill="1" applyBorder="1"/>
    <xf numFmtId="0" fontId="28" fillId="14" borderId="24" xfId="0" applyFont="1" applyFill="1" applyBorder="1" applyAlignment="1">
      <alignment horizontal="center" vertical="center" wrapText="1"/>
    </xf>
    <xf numFmtId="0" fontId="27" fillId="14" borderId="25" xfId="0" applyFont="1" applyFill="1" applyBorder="1" applyAlignment="1">
      <alignment horizontal="center" vertical="center" wrapText="1"/>
    </xf>
    <xf numFmtId="0" fontId="28" fillId="14" borderId="21" xfId="0" applyFont="1" applyFill="1" applyBorder="1"/>
    <xf numFmtId="0" fontId="27" fillId="14" borderId="21" xfId="0" applyFont="1" applyFill="1" applyBorder="1"/>
    <xf numFmtId="0" fontId="28" fillId="14" borderId="28" xfId="0" applyFont="1" applyFill="1" applyBorder="1"/>
    <xf numFmtId="0" fontId="29" fillId="11" borderId="24" xfId="0" applyFont="1" applyFill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2" fontId="29" fillId="11" borderId="21" xfId="0" applyNumberFormat="1" applyFont="1" applyFill="1" applyBorder="1" applyAlignment="1">
      <alignment horizontal="left"/>
    </xf>
    <xf numFmtId="2" fontId="30" fillId="11" borderId="21" xfId="0" applyNumberFormat="1" applyFont="1" applyFill="1" applyBorder="1" applyAlignment="1">
      <alignment horizontal="left"/>
    </xf>
    <xf numFmtId="2" fontId="30" fillId="11" borderId="28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10" borderId="13" xfId="0" applyFont="1" applyFill="1" applyBorder="1" applyAlignment="1">
      <alignment horizontal="left" vertical="top" wrapText="1"/>
    </xf>
    <xf numFmtId="0" fontId="12" fillId="10" borderId="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164" fontId="3" fillId="13" borderId="2" xfId="0" applyNumberFormat="1" applyFont="1" applyFill="1" applyBorder="1" applyAlignment="1">
      <alignment horizontal="right" vertical="center"/>
    </xf>
    <xf numFmtId="164" fontId="3" fillId="13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5" fillId="0" borderId="10" xfId="0" applyFont="1" applyBorder="1"/>
    <xf numFmtId="0" fontId="23" fillId="3" borderId="31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8" fillId="0" borderId="61" xfId="0" applyFont="1" applyBorder="1"/>
    <xf numFmtId="43" fontId="23" fillId="0" borderId="22" xfId="5" applyFont="1" applyBorder="1" applyAlignment="1">
      <alignment horizontal="right" vertical="center"/>
    </xf>
    <xf numFmtId="43" fontId="23" fillId="0" borderId="23" xfId="5" applyFont="1" applyBorder="1" applyAlignment="1">
      <alignment horizontal="right" vertical="center"/>
    </xf>
    <xf numFmtId="2" fontId="27" fillId="15" borderId="22" xfId="0" applyNumberFormat="1" applyFont="1" applyFill="1" applyBorder="1" applyAlignment="1">
      <alignment horizontal="center"/>
    </xf>
    <xf numFmtId="2" fontId="27" fillId="7" borderId="22" xfId="0" applyNumberFormat="1" applyFont="1" applyFill="1" applyBorder="1" applyAlignment="1">
      <alignment horizontal="center"/>
    </xf>
    <xf numFmtId="2" fontId="27" fillId="14" borderId="22" xfId="0" applyNumberFormat="1" applyFont="1" applyFill="1" applyBorder="1" applyAlignment="1">
      <alignment horizontal="center"/>
    </xf>
    <xf numFmtId="2" fontId="29" fillId="11" borderId="22" xfId="0" applyNumberFormat="1" applyFont="1" applyFill="1" applyBorder="1" applyAlignment="1">
      <alignment horizontal="center"/>
    </xf>
    <xf numFmtId="2" fontId="29" fillId="11" borderId="23" xfId="0" applyNumberFormat="1" applyFont="1" applyFill="1" applyBorder="1" applyAlignment="1">
      <alignment horizontal="center"/>
    </xf>
    <xf numFmtId="2" fontId="27" fillId="14" borderId="23" xfId="0" applyNumberFormat="1" applyFont="1" applyFill="1" applyBorder="1" applyAlignment="1">
      <alignment horizontal="center"/>
    </xf>
    <xf numFmtId="2" fontId="27" fillId="7" borderId="23" xfId="0" applyNumberFormat="1" applyFont="1" applyFill="1" applyBorder="1" applyAlignment="1">
      <alignment horizontal="center"/>
    </xf>
    <xf numFmtId="2" fontId="27" fillId="15" borderId="23" xfId="0" applyNumberFormat="1" applyFont="1" applyFill="1" applyBorder="1" applyAlignment="1">
      <alignment horizontal="center"/>
    </xf>
    <xf numFmtId="164" fontId="31" fillId="0" borderId="30" xfId="0" applyNumberFormat="1" applyFont="1" applyBorder="1" applyAlignment="1">
      <alignment horizontal="right" vertical="center"/>
    </xf>
    <xf numFmtId="164" fontId="31" fillId="0" borderId="26" xfId="0" applyNumberFormat="1" applyFont="1" applyBorder="1" applyAlignment="1">
      <alignment horizontal="right" vertical="center"/>
    </xf>
  </cellXfs>
  <cellStyles count="6">
    <cellStyle name="Komma" xfId="5" builtinId="3"/>
    <cellStyle name="Komma 2" xfId="4"/>
    <cellStyle name="Standard" xfId="0" builtinId="0"/>
    <cellStyle name="Standard 2" xfId="2"/>
    <cellStyle name="Währung" xfId="1" builtinId="4"/>
    <cellStyle name="Währung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="85" zoomScaleNormal="85" workbookViewId="0">
      <selection activeCell="B4" sqref="B4"/>
    </sheetView>
  </sheetViews>
  <sheetFormatPr baseColWidth="10" defaultRowHeight="14.25" x14ac:dyDescent="0.2"/>
  <cols>
    <col min="1" max="1" width="12.85546875" style="45" customWidth="1"/>
    <col min="2" max="3" width="11.5703125" style="45" bestFit="1" customWidth="1"/>
    <col min="4" max="4" width="13" style="45" customWidth="1"/>
    <col min="5" max="5" width="13" style="45" bestFit="1" customWidth="1"/>
    <col min="6" max="6" width="13.28515625" style="45" customWidth="1"/>
    <col min="7" max="7" width="11.5703125" style="45" bestFit="1" customWidth="1"/>
    <col min="8" max="8" width="13.5703125" style="45" customWidth="1"/>
    <col min="9" max="9" width="14.140625" style="45" customWidth="1"/>
    <col min="10" max="13" width="13.42578125" style="45" customWidth="1"/>
    <col min="14" max="14" width="12.140625" style="45" bestFit="1" customWidth="1"/>
    <col min="15" max="16384" width="11.42578125" style="45"/>
  </cols>
  <sheetData>
    <row r="1" spans="1:23" ht="27" customHeight="1" x14ac:dyDescent="0.2">
      <c r="A1" s="201" t="s">
        <v>24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23" ht="27" customHeight="1" x14ac:dyDescent="0.2">
      <c r="A2" s="245" t="s">
        <v>75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23" ht="40.5" customHeight="1" x14ac:dyDescent="0.2">
      <c r="A3" s="247" t="s">
        <v>48</v>
      </c>
      <c r="B3" s="203" t="s">
        <v>49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4" spans="1:23" ht="18" customHeight="1" thickBot="1" x14ac:dyDescent="0.25">
      <c r="A4" s="46"/>
      <c r="B4" s="46"/>
      <c r="C4" s="46"/>
      <c r="D4" s="46"/>
      <c r="E4" s="46"/>
      <c r="F4" s="46"/>
      <c r="G4" s="46"/>
      <c r="H4" s="46"/>
      <c r="I4" s="46"/>
      <c r="J4" s="44"/>
      <c r="K4" s="44"/>
      <c r="L4" s="44"/>
      <c r="M4" s="44"/>
    </row>
    <row r="5" spans="1:23" ht="84.75" customHeight="1" thickBot="1" x14ac:dyDescent="0.25">
      <c r="A5" s="26"/>
      <c r="B5" s="73" t="s">
        <v>55</v>
      </c>
      <c r="C5" s="74" t="s">
        <v>94</v>
      </c>
      <c r="D5" s="27" t="s">
        <v>46</v>
      </c>
      <c r="E5" s="46"/>
      <c r="F5" s="207" t="s">
        <v>50</v>
      </c>
      <c r="G5" s="208"/>
      <c r="H5" s="208"/>
      <c r="I5" s="209"/>
      <c r="J5" s="44"/>
      <c r="K5" s="44"/>
      <c r="L5" s="44"/>
      <c r="M5" s="44"/>
    </row>
    <row r="6" spans="1:23" ht="15" x14ac:dyDescent="0.2">
      <c r="A6" s="71" t="s">
        <v>3</v>
      </c>
      <c r="B6" s="75">
        <v>36.409999999999997</v>
      </c>
      <c r="C6" s="75">
        <f>37.91+1.55</f>
        <v>39.459999999999994</v>
      </c>
      <c r="D6" s="48">
        <v>39.46</v>
      </c>
      <c r="E6" s="46"/>
      <c r="F6" s="210" t="s">
        <v>37</v>
      </c>
      <c r="G6" s="211"/>
      <c r="H6" s="211"/>
      <c r="I6" s="47">
        <v>12.64</v>
      </c>
      <c r="J6" s="44"/>
      <c r="K6" s="44"/>
      <c r="L6" s="44"/>
      <c r="M6" s="44"/>
    </row>
    <row r="7" spans="1:23" ht="15" x14ac:dyDescent="0.2">
      <c r="A7" s="71" t="s">
        <v>4</v>
      </c>
      <c r="B7" s="75">
        <v>53.43</v>
      </c>
      <c r="C7" s="75">
        <v>54.58</v>
      </c>
      <c r="D7" s="48">
        <v>54.58</v>
      </c>
      <c r="E7" s="46"/>
      <c r="F7" s="205" t="s">
        <v>39</v>
      </c>
      <c r="G7" s="206"/>
      <c r="H7" s="206"/>
      <c r="I7" s="48">
        <v>6.36</v>
      </c>
      <c r="J7" s="44"/>
      <c r="K7" s="44"/>
      <c r="L7" s="44"/>
      <c r="M7" s="44"/>
    </row>
    <row r="8" spans="1:23" ht="15" x14ac:dyDescent="0.2">
      <c r="A8" s="71" t="s">
        <v>5</v>
      </c>
      <c r="B8" s="75">
        <v>73.319999999999993</v>
      </c>
      <c r="C8" s="75">
        <v>74.89</v>
      </c>
      <c r="D8" s="48">
        <v>74.89</v>
      </c>
      <c r="E8" s="46"/>
      <c r="F8" s="205" t="s">
        <v>40</v>
      </c>
      <c r="G8" s="206"/>
      <c r="H8" s="206"/>
      <c r="I8" s="48">
        <v>2</v>
      </c>
      <c r="J8" s="44"/>
      <c r="K8" s="44"/>
      <c r="L8" s="44"/>
      <c r="M8" s="44"/>
    </row>
    <row r="9" spans="1:23" ht="15" x14ac:dyDescent="0.2">
      <c r="A9" s="71" t="s">
        <v>6</v>
      </c>
      <c r="B9" s="75">
        <v>87.51</v>
      </c>
      <c r="C9" s="75">
        <v>89.39</v>
      </c>
      <c r="D9" s="48">
        <v>89.39</v>
      </c>
      <c r="E9" s="46"/>
      <c r="F9" s="205" t="s">
        <v>51</v>
      </c>
      <c r="G9" s="206"/>
      <c r="H9" s="206"/>
      <c r="I9" s="48">
        <v>0</v>
      </c>
      <c r="J9" s="44"/>
      <c r="K9" s="44"/>
      <c r="L9" s="44"/>
      <c r="M9" s="44"/>
    </row>
    <row r="10" spans="1:23" ht="15.75" thickBot="1" x14ac:dyDescent="0.25">
      <c r="A10" s="72" t="s">
        <v>15</v>
      </c>
      <c r="B10" s="76">
        <v>100.1</v>
      </c>
      <c r="C10" s="76">
        <v>101.98</v>
      </c>
      <c r="D10" s="49">
        <v>101.98</v>
      </c>
      <c r="E10" s="46"/>
      <c r="F10" s="216" t="s">
        <v>38</v>
      </c>
      <c r="G10" s="217"/>
      <c r="H10" s="217"/>
      <c r="I10" s="49">
        <v>10</v>
      </c>
      <c r="J10" s="44"/>
      <c r="K10" s="44"/>
      <c r="L10" s="44"/>
      <c r="M10" s="44"/>
    </row>
    <row r="11" spans="1:23" x14ac:dyDescent="0.2">
      <c r="A11" s="46"/>
      <c r="B11" s="46"/>
      <c r="C11" s="46"/>
      <c r="D11" s="46"/>
      <c r="E11" s="46"/>
      <c r="F11" s="214" t="s">
        <v>95</v>
      </c>
      <c r="G11" s="215"/>
      <c r="H11" s="215"/>
      <c r="I11" s="29">
        <f>SUM(I6:I10)</f>
        <v>31</v>
      </c>
      <c r="J11" s="44"/>
      <c r="K11" s="44"/>
      <c r="L11" s="44"/>
      <c r="M11" s="44"/>
    </row>
    <row r="12" spans="1:23" ht="15" thickBot="1" x14ac:dyDescent="0.25">
      <c r="A12" s="46"/>
      <c r="B12" s="46"/>
      <c r="C12" s="46"/>
      <c r="D12" s="46"/>
      <c r="E12" s="46"/>
      <c r="F12" s="212" t="s">
        <v>96</v>
      </c>
      <c r="G12" s="213"/>
      <c r="H12" s="213"/>
      <c r="I12" s="30">
        <f>I11*30.42</f>
        <v>943.0200000000001</v>
      </c>
      <c r="J12" s="44"/>
      <c r="K12" s="44"/>
      <c r="L12" s="44"/>
      <c r="M12" s="44"/>
    </row>
    <row r="13" spans="1:23" ht="22.5" customHeight="1" thickBot="1" x14ac:dyDescent="0.25">
      <c r="A13" s="50" t="s">
        <v>57</v>
      </c>
      <c r="B13" s="46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</row>
    <row r="14" spans="1:23" ht="107.25" customHeight="1" x14ac:dyDescent="0.2">
      <c r="A14" s="37" t="s">
        <v>35</v>
      </c>
      <c r="B14" s="23" t="s">
        <v>1</v>
      </c>
      <c r="C14" s="24" t="s">
        <v>0</v>
      </c>
      <c r="D14" s="25" t="s">
        <v>2</v>
      </c>
      <c r="E14" s="26" t="s">
        <v>32</v>
      </c>
      <c r="F14" s="27" t="s">
        <v>63</v>
      </c>
      <c r="G14" s="26" t="s">
        <v>52</v>
      </c>
      <c r="H14" s="36" t="s">
        <v>53</v>
      </c>
      <c r="I14" s="31" t="s">
        <v>42</v>
      </c>
      <c r="J14" s="94" t="s">
        <v>54</v>
      </c>
      <c r="K14" s="106" t="s">
        <v>41</v>
      </c>
      <c r="L14" s="108" t="s">
        <v>61</v>
      </c>
      <c r="M14" s="109" t="s">
        <v>62</v>
      </c>
      <c r="T14" s="146"/>
    </row>
    <row r="15" spans="1:23" ht="15.75" thickBot="1" x14ac:dyDescent="0.25">
      <c r="A15" s="38" t="s">
        <v>3</v>
      </c>
      <c r="B15" s="51"/>
      <c r="C15" s="77">
        <v>1</v>
      </c>
      <c r="D15" s="83">
        <f>C15</f>
        <v>1</v>
      </c>
      <c r="E15" s="86">
        <f>D6</f>
        <v>39.46</v>
      </c>
      <c r="F15" s="53">
        <f>(D15*E15)*30.42</f>
        <v>1200.3732</v>
      </c>
      <c r="G15" s="86">
        <f>$I$11</f>
        <v>31</v>
      </c>
      <c r="H15" s="88">
        <f>D15*(G15*30.42)</f>
        <v>943.0200000000001</v>
      </c>
      <c r="I15" s="91">
        <f>F15+H15</f>
        <v>2143.3932</v>
      </c>
      <c r="J15" s="96">
        <v>0</v>
      </c>
      <c r="K15" s="107">
        <f>J15*D15</f>
        <v>0</v>
      </c>
      <c r="L15" s="110">
        <f>((E15)*30.42)-J15</f>
        <v>1200.3732</v>
      </c>
      <c r="M15" s="111">
        <f>((E15+G15)*30.42)-J15</f>
        <v>2143.3932000000004</v>
      </c>
      <c r="T15" s="147"/>
      <c r="U15" s="143"/>
      <c r="V15" s="142"/>
      <c r="W15" s="143"/>
    </row>
    <row r="16" spans="1:23" ht="15" x14ac:dyDescent="0.2">
      <c r="A16" s="38" t="s">
        <v>4</v>
      </c>
      <c r="B16" s="80">
        <v>25</v>
      </c>
      <c r="C16" s="77">
        <v>17</v>
      </c>
      <c r="D16" s="83">
        <f>C16+B16</f>
        <v>42</v>
      </c>
      <c r="E16" s="86">
        <f>D7</f>
        <v>54.58</v>
      </c>
      <c r="F16" s="53">
        <f>(D16*E16)*30.42</f>
        <v>69733.59120000001</v>
      </c>
      <c r="G16" s="86">
        <f>$I$11</f>
        <v>31</v>
      </c>
      <c r="H16" s="88">
        <f>D16*(G16*30.42)</f>
        <v>39606.840000000004</v>
      </c>
      <c r="I16" s="91">
        <f>F16+H16</f>
        <v>109340.43120000002</v>
      </c>
      <c r="J16" s="96">
        <v>1064</v>
      </c>
      <c r="K16" s="107">
        <f>J16*D16</f>
        <v>44688</v>
      </c>
      <c r="L16" s="110">
        <f>((E16)*30.42)-J16</f>
        <v>596.32359999999994</v>
      </c>
      <c r="M16" s="111">
        <f>((E16+G16)*30.42)-J16</f>
        <v>1539.3436000000002</v>
      </c>
      <c r="T16" s="144"/>
      <c r="U16" s="143"/>
      <c r="V16" s="142"/>
      <c r="W16" s="143"/>
    </row>
    <row r="17" spans="1:23" ht="15" x14ac:dyDescent="0.2">
      <c r="A17" s="38" t="s">
        <v>5</v>
      </c>
      <c r="B17" s="80">
        <v>15</v>
      </c>
      <c r="C17" s="77">
        <v>23</v>
      </c>
      <c r="D17" s="83">
        <f>C17+B17</f>
        <v>38</v>
      </c>
      <c r="E17" s="86">
        <f>D8</f>
        <v>74.89</v>
      </c>
      <c r="F17" s="53">
        <f>(D17*E17)*30.42</f>
        <v>86569.844400000016</v>
      </c>
      <c r="G17" s="86">
        <f>$I$11</f>
        <v>31</v>
      </c>
      <c r="H17" s="88">
        <f>D17*(G17*30.42)</f>
        <v>35834.76</v>
      </c>
      <c r="I17" s="91">
        <f>F17+H17</f>
        <v>122404.60440000001</v>
      </c>
      <c r="J17" s="96">
        <v>1330</v>
      </c>
      <c r="K17" s="107">
        <f>J17*D17</f>
        <v>50540</v>
      </c>
      <c r="L17" s="110">
        <f>((E17)*30.42)-J17</f>
        <v>948.15380000000005</v>
      </c>
      <c r="M17" s="111">
        <f>((E17+G17)*30.42)-J17</f>
        <v>1891.1738</v>
      </c>
      <c r="T17" s="144"/>
      <c r="U17" s="143"/>
      <c r="V17" s="142"/>
      <c r="W17" s="143"/>
    </row>
    <row r="18" spans="1:23" ht="15.75" thickBot="1" x14ac:dyDescent="0.25">
      <c r="A18" s="39" t="s">
        <v>6</v>
      </c>
      <c r="B18" s="81">
        <v>4</v>
      </c>
      <c r="C18" s="78">
        <v>13</v>
      </c>
      <c r="D18" s="84">
        <f>C18+B18</f>
        <v>17</v>
      </c>
      <c r="E18" s="86">
        <f>D9</f>
        <v>89.39</v>
      </c>
      <c r="F18" s="53">
        <f>(D18*E18)*30.42</f>
        <v>46227.144600000007</v>
      </c>
      <c r="G18" s="86">
        <f>$I$11</f>
        <v>31</v>
      </c>
      <c r="H18" s="88">
        <f>D18*(G18*30.42)</f>
        <v>16031.340000000002</v>
      </c>
      <c r="I18" s="91">
        <f>F18+H18</f>
        <v>62258.484600000011</v>
      </c>
      <c r="J18" s="96">
        <v>1612</v>
      </c>
      <c r="K18" s="107">
        <f>J18*D18</f>
        <v>27404</v>
      </c>
      <c r="L18" s="110">
        <f>((E18)*30.42)-J18</f>
        <v>1107.2438000000002</v>
      </c>
      <c r="M18" s="111">
        <f>((E18+G18)*30.42)-J18</f>
        <v>2050.2638000000002</v>
      </c>
      <c r="T18" s="145"/>
      <c r="U18" s="143"/>
      <c r="V18" s="142"/>
      <c r="W18" s="143"/>
    </row>
    <row r="19" spans="1:23" ht="16.5" thickTop="1" thickBot="1" x14ac:dyDescent="0.25">
      <c r="A19" s="40" t="s">
        <v>15</v>
      </c>
      <c r="B19" s="82">
        <v>1</v>
      </c>
      <c r="C19" s="79">
        <v>1</v>
      </c>
      <c r="D19" s="85">
        <f>C19+B19</f>
        <v>2</v>
      </c>
      <c r="E19" s="87">
        <f>D10</f>
        <v>101.98</v>
      </c>
      <c r="F19" s="54">
        <f>(D19*E19)*30.42</f>
        <v>6204.4632000000001</v>
      </c>
      <c r="G19" s="87">
        <f>$I$11</f>
        <v>31</v>
      </c>
      <c r="H19" s="89">
        <f>D19*(G19*30.42)</f>
        <v>1886.0400000000002</v>
      </c>
      <c r="I19" s="91">
        <f>F19+H19</f>
        <v>8090.5032000000001</v>
      </c>
      <c r="J19" s="96">
        <v>1995</v>
      </c>
      <c r="K19" s="107">
        <f>J19*D19</f>
        <v>3990</v>
      </c>
      <c r="L19" s="110">
        <f>((E19)*30.42)-J19</f>
        <v>1107.2316000000001</v>
      </c>
      <c r="M19" s="111">
        <f>((E19+G19)*30.42)-J19</f>
        <v>2050.251600000001</v>
      </c>
      <c r="T19" s="145"/>
      <c r="U19" s="143"/>
      <c r="V19" s="142"/>
      <c r="W19" s="143"/>
    </row>
    <row r="20" spans="1:23" ht="16.5" thickTop="1" thickBot="1" x14ac:dyDescent="0.25">
      <c r="A20" s="55" t="s">
        <v>47</v>
      </c>
      <c r="B20" s="41">
        <f>SUM(B15:B19)</f>
        <v>45</v>
      </c>
      <c r="C20" s="42">
        <f>SUM(C15:C19)</f>
        <v>55</v>
      </c>
      <c r="D20" s="43">
        <f>SUM(D15:D19)</f>
        <v>100</v>
      </c>
      <c r="E20" s="56"/>
      <c r="F20" s="100">
        <f>SUM(F15:F19)</f>
        <v>209935.41660000003</v>
      </c>
      <c r="G20" s="56"/>
      <c r="H20" s="90">
        <f>SUM(H15:H19)</f>
        <v>94301.999999999985</v>
      </c>
      <c r="I20" s="62">
        <f>SUM(I15:I19)</f>
        <v>304237.41660000006</v>
      </c>
      <c r="J20" s="98"/>
      <c r="K20" s="99">
        <f>SUM(K15:K19)</f>
        <v>126622</v>
      </c>
      <c r="L20" s="112"/>
      <c r="M20" s="113"/>
      <c r="U20" s="143"/>
    </row>
    <row r="21" spans="1:23" ht="15" thickBot="1" x14ac:dyDescent="0.25">
      <c r="A21" s="46"/>
      <c r="B21" s="46"/>
      <c r="C21" s="46"/>
      <c r="D21" s="46"/>
      <c r="E21" s="46"/>
      <c r="F21" s="120" t="s">
        <v>70</v>
      </c>
      <c r="G21" s="46"/>
      <c r="H21" s="46"/>
      <c r="I21" s="46"/>
      <c r="J21" s="46"/>
      <c r="K21" s="46"/>
      <c r="L21" s="46"/>
      <c r="M21" s="46"/>
    </row>
    <row r="22" spans="1:23" x14ac:dyDescent="0.2">
      <c r="A22" s="46"/>
      <c r="B22" s="46"/>
      <c r="C22" s="46"/>
      <c r="D22" s="46"/>
      <c r="E22" s="46"/>
      <c r="F22" s="10"/>
      <c r="G22" s="46"/>
      <c r="H22" s="46"/>
      <c r="I22" s="46"/>
      <c r="J22" s="46"/>
      <c r="K22" s="46"/>
      <c r="L22" s="46"/>
      <c r="M22" s="46"/>
    </row>
    <row r="23" spans="1:23" ht="30" customHeight="1" x14ac:dyDescent="0.2">
      <c r="A23" s="50" t="s">
        <v>64</v>
      </c>
      <c r="B23" s="105"/>
      <c r="C23" s="105"/>
      <c r="D23" s="105"/>
      <c r="E23" s="105"/>
      <c r="F23" s="44"/>
      <c r="G23" s="46"/>
      <c r="H23" s="46"/>
      <c r="I23" s="46"/>
      <c r="J23" s="46"/>
      <c r="K23" s="46"/>
      <c r="L23" s="46"/>
      <c r="M23" s="46"/>
    </row>
    <row r="24" spans="1:23" ht="63.75" x14ac:dyDescent="0.2">
      <c r="A24" s="1" t="s">
        <v>35</v>
      </c>
      <c r="B24" s="1" t="s">
        <v>25</v>
      </c>
      <c r="C24" s="1" t="s">
        <v>26</v>
      </c>
      <c r="D24" s="104" t="s">
        <v>33</v>
      </c>
      <c r="E24" s="1" t="s">
        <v>34</v>
      </c>
      <c r="F24" s="1"/>
      <c r="G24" s="1" t="s">
        <v>59</v>
      </c>
      <c r="H24" s="46"/>
      <c r="I24" s="141"/>
      <c r="J24" s="141"/>
      <c r="K24" s="141"/>
      <c r="L24" s="141"/>
      <c r="M24" s="141"/>
    </row>
    <row r="25" spans="1:23" ht="15" x14ac:dyDescent="0.2">
      <c r="A25" s="218" t="s">
        <v>3</v>
      </c>
      <c r="B25" s="11" t="s">
        <v>27</v>
      </c>
      <c r="C25" s="12">
        <f>B15</f>
        <v>0</v>
      </c>
      <c r="D25" s="131" t="s">
        <v>28</v>
      </c>
      <c r="E25" s="132" t="s">
        <v>29</v>
      </c>
      <c r="F25" s="132">
        <f t="shared" ref="F25:F34" si="0">C25</f>
        <v>0</v>
      </c>
      <c r="G25" s="132">
        <f>F25</f>
        <v>0</v>
      </c>
      <c r="H25" s="46"/>
      <c r="I25" s="140"/>
      <c r="J25" s="156"/>
      <c r="K25" s="140"/>
      <c r="L25" s="140"/>
      <c r="M25" s="140"/>
    </row>
    <row r="26" spans="1:23" ht="15" x14ac:dyDescent="0.2">
      <c r="A26" s="218"/>
      <c r="B26" s="11" t="s">
        <v>30</v>
      </c>
      <c r="C26" s="12">
        <f>C15</f>
        <v>1</v>
      </c>
      <c r="D26" s="12" t="s">
        <v>28</v>
      </c>
      <c r="E26" s="218" t="s">
        <v>17</v>
      </c>
      <c r="F26" s="12">
        <f t="shared" si="0"/>
        <v>1</v>
      </c>
      <c r="G26" s="218">
        <f>F26+F27</f>
        <v>26</v>
      </c>
      <c r="H26" s="46"/>
      <c r="I26" s="140"/>
      <c r="J26" s="156"/>
      <c r="K26" s="140"/>
      <c r="L26" s="140"/>
      <c r="M26" s="140"/>
    </row>
    <row r="27" spans="1:23" ht="15" x14ac:dyDescent="0.2">
      <c r="A27" s="219" t="s">
        <v>4</v>
      </c>
      <c r="B27" s="13" t="s">
        <v>27</v>
      </c>
      <c r="C27" s="14">
        <f>B16</f>
        <v>25</v>
      </c>
      <c r="D27" s="12" t="s">
        <v>28</v>
      </c>
      <c r="E27" s="218"/>
      <c r="F27" s="12">
        <f t="shared" si="0"/>
        <v>25</v>
      </c>
      <c r="G27" s="218"/>
      <c r="H27" s="46"/>
      <c r="I27" s="140"/>
      <c r="J27" s="156"/>
      <c r="K27" s="140"/>
      <c r="L27" s="140"/>
      <c r="M27" s="140"/>
    </row>
    <row r="28" spans="1:23" ht="15" x14ac:dyDescent="0.2">
      <c r="A28" s="219"/>
      <c r="B28" s="13" t="s">
        <v>30</v>
      </c>
      <c r="C28" s="14">
        <f>C16</f>
        <v>17</v>
      </c>
      <c r="D28" s="14" t="s">
        <v>28</v>
      </c>
      <c r="E28" s="219" t="s">
        <v>18</v>
      </c>
      <c r="F28" s="14">
        <f t="shared" si="0"/>
        <v>17</v>
      </c>
      <c r="G28" s="219">
        <f>F28+F29</f>
        <v>32</v>
      </c>
      <c r="H28" s="46"/>
      <c r="I28" s="140"/>
      <c r="J28" s="156"/>
      <c r="K28" s="140"/>
      <c r="L28" s="140"/>
      <c r="M28" s="140"/>
    </row>
    <row r="29" spans="1:23" ht="15" x14ac:dyDescent="0.2">
      <c r="A29" s="220" t="s">
        <v>5</v>
      </c>
      <c r="B29" s="15" t="s">
        <v>27</v>
      </c>
      <c r="C29" s="16">
        <f>B17</f>
        <v>15</v>
      </c>
      <c r="D29" s="14" t="s">
        <v>28</v>
      </c>
      <c r="E29" s="219"/>
      <c r="F29" s="14">
        <f t="shared" si="0"/>
        <v>15</v>
      </c>
      <c r="G29" s="219"/>
      <c r="H29" s="46"/>
      <c r="I29" s="140"/>
      <c r="J29" s="156"/>
      <c r="K29" s="140"/>
      <c r="L29" s="140"/>
      <c r="M29" s="140"/>
    </row>
    <row r="30" spans="1:23" ht="15" x14ac:dyDescent="0.2">
      <c r="A30" s="220"/>
      <c r="B30" s="15" t="s">
        <v>30</v>
      </c>
      <c r="C30" s="16">
        <f>C17</f>
        <v>23</v>
      </c>
      <c r="D30" s="16" t="s">
        <v>28</v>
      </c>
      <c r="E30" s="220" t="s">
        <v>19</v>
      </c>
      <c r="F30" s="16">
        <f t="shared" si="0"/>
        <v>23</v>
      </c>
      <c r="G30" s="220">
        <f>F30+F31</f>
        <v>27</v>
      </c>
      <c r="H30" s="46"/>
      <c r="I30" s="140"/>
      <c r="J30" s="156"/>
      <c r="K30" s="140"/>
      <c r="L30" s="140"/>
      <c r="M30" s="140"/>
    </row>
    <row r="31" spans="1:23" ht="15" x14ac:dyDescent="0.2">
      <c r="A31" s="198" t="s">
        <v>6</v>
      </c>
      <c r="B31" s="17" t="s">
        <v>27</v>
      </c>
      <c r="C31" s="18">
        <f>B18</f>
        <v>4</v>
      </c>
      <c r="D31" s="16" t="s">
        <v>28</v>
      </c>
      <c r="E31" s="220"/>
      <c r="F31" s="16">
        <f t="shared" si="0"/>
        <v>4</v>
      </c>
      <c r="G31" s="220"/>
      <c r="H31" s="46"/>
      <c r="I31" s="140"/>
      <c r="J31" s="156"/>
      <c r="K31" s="140"/>
      <c r="L31" s="140"/>
      <c r="M31" s="140"/>
    </row>
    <row r="32" spans="1:23" ht="15" x14ac:dyDescent="0.2">
      <c r="A32" s="198"/>
      <c r="B32" s="17" t="s">
        <v>30</v>
      </c>
      <c r="C32" s="18">
        <f>C18</f>
        <v>13</v>
      </c>
      <c r="D32" s="19" t="s">
        <v>28</v>
      </c>
      <c r="E32" s="199" t="s">
        <v>20</v>
      </c>
      <c r="F32" s="19">
        <f t="shared" si="0"/>
        <v>13</v>
      </c>
      <c r="G32" s="200">
        <f>F32+F33+F34</f>
        <v>15</v>
      </c>
      <c r="H32" s="46"/>
      <c r="I32" s="140"/>
      <c r="J32" s="156"/>
      <c r="K32" s="140"/>
      <c r="L32" s="140"/>
      <c r="M32" s="140"/>
    </row>
    <row r="33" spans="1:18" ht="15" x14ac:dyDescent="0.2">
      <c r="A33" s="198" t="s">
        <v>15</v>
      </c>
      <c r="B33" s="17" t="s">
        <v>27</v>
      </c>
      <c r="C33" s="18">
        <f>B19</f>
        <v>1</v>
      </c>
      <c r="D33" s="19" t="s">
        <v>28</v>
      </c>
      <c r="E33" s="199"/>
      <c r="F33" s="19">
        <f t="shared" si="0"/>
        <v>1</v>
      </c>
      <c r="G33" s="200"/>
      <c r="H33" s="46"/>
      <c r="I33" s="140"/>
      <c r="J33" s="156"/>
      <c r="K33" s="140"/>
      <c r="L33" s="140"/>
      <c r="M33" s="140"/>
    </row>
    <row r="34" spans="1:18" ht="15" x14ac:dyDescent="0.2">
      <c r="A34" s="198"/>
      <c r="B34" s="17" t="s">
        <v>30</v>
      </c>
      <c r="C34" s="18">
        <f>C19</f>
        <v>1</v>
      </c>
      <c r="D34" s="19" t="s">
        <v>28</v>
      </c>
      <c r="E34" s="199"/>
      <c r="F34" s="19">
        <f t="shared" si="0"/>
        <v>1</v>
      </c>
      <c r="G34" s="200"/>
      <c r="H34" s="46"/>
      <c r="I34" s="140"/>
      <c r="J34" s="156"/>
      <c r="K34" s="140"/>
      <c r="L34" s="140"/>
      <c r="M34" s="140"/>
    </row>
    <row r="35" spans="1:18" ht="15" x14ac:dyDescent="0.2">
      <c r="A35" s="233" t="s">
        <v>31</v>
      </c>
      <c r="B35" s="233"/>
      <c r="C35" s="20">
        <f>SUM(C25:C34)</f>
        <v>100</v>
      </c>
      <c r="D35" s="21"/>
      <c r="E35" s="20" t="s">
        <v>31</v>
      </c>
      <c r="F35" s="233">
        <f>F25+G26+G28+G30+G32</f>
        <v>100</v>
      </c>
      <c r="G35" s="233"/>
      <c r="H35" s="46"/>
      <c r="I35" s="46"/>
      <c r="J35" s="156"/>
      <c r="K35" s="46"/>
      <c r="L35" s="46"/>
      <c r="M35" s="140"/>
    </row>
    <row r="36" spans="1:18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8" x14ac:dyDescent="0.2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8" ht="21.75" customHeight="1" x14ac:dyDescent="0.2">
      <c r="A38" s="46" t="s">
        <v>65</v>
      </c>
      <c r="B38" s="46"/>
      <c r="C38" s="46"/>
      <c r="D38" s="46"/>
      <c r="E38" s="44"/>
      <c r="F38" s="240" t="s">
        <v>7</v>
      </c>
      <c r="G38" s="240"/>
      <c r="H38" s="240"/>
      <c r="I38" s="240"/>
      <c r="J38" s="44"/>
      <c r="K38" s="44"/>
      <c r="L38" s="44"/>
      <c r="M38" s="44"/>
    </row>
    <row r="39" spans="1:18" ht="25.5" x14ac:dyDescent="0.2">
      <c r="A39" s="28" t="s">
        <v>60</v>
      </c>
      <c r="B39" s="28" t="s">
        <v>36</v>
      </c>
      <c r="C39" s="1" t="s">
        <v>8</v>
      </c>
      <c r="D39" s="1" t="s">
        <v>9</v>
      </c>
      <c r="E39" s="44"/>
      <c r="F39" s="227" t="s">
        <v>56</v>
      </c>
      <c r="G39" s="228"/>
      <c r="H39" s="229"/>
      <c r="I39" s="241">
        <f>F20</f>
        <v>209935.41660000003</v>
      </c>
      <c r="J39" s="44"/>
      <c r="K39" s="44"/>
      <c r="L39" s="44"/>
      <c r="M39" s="44"/>
    </row>
    <row r="40" spans="1:18" ht="15" x14ac:dyDescent="0.2">
      <c r="A40" s="3" t="s">
        <v>10</v>
      </c>
      <c r="B40" s="102">
        <v>770</v>
      </c>
      <c r="C40" s="63">
        <f>G26</f>
        <v>26</v>
      </c>
      <c r="D40" s="57">
        <f>B40*C40</f>
        <v>20020</v>
      </c>
      <c r="E40" s="44"/>
      <c r="F40" s="230"/>
      <c r="G40" s="231"/>
      <c r="H40" s="232"/>
      <c r="I40" s="242"/>
      <c r="J40" s="58"/>
      <c r="K40" s="58"/>
      <c r="L40" s="58"/>
      <c r="M40" s="58"/>
    </row>
    <row r="41" spans="1:18" ht="15" customHeight="1" x14ac:dyDescent="0.2">
      <c r="A41" s="3" t="s">
        <v>11</v>
      </c>
      <c r="B41" s="102">
        <v>1262</v>
      </c>
      <c r="C41" s="63">
        <f>G28</f>
        <v>32</v>
      </c>
      <c r="D41" s="57">
        <f t="shared" ref="D41:D43" si="1">B41*C41</f>
        <v>40384</v>
      </c>
      <c r="E41" s="44"/>
      <c r="F41" s="227" t="s">
        <v>58</v>
      </c>
      <c r="G41" s="228"/>
      <c r="H41" s="229"/>
      <c r="I41" s="243">
        <f>D44</f>
        <v>138404</v>
      </c>
      <c r="J41" s="58"/>
      <c r="K41" s="58"/>
      <c r="L41" s="58"/>
      <c r="M41" s="58"/>
    </row>
    <row r="42" spans="1:18" ht="15" customHeight="1" x14ac:dyDescent="0.2">
      <c r="A42" s="3" t="s">
        <v>12</v>
      </c>
      <c r="B42" s="102">
        <v>1775</v>
      </c>
      <c r="C42" s="63">
        <f>G30</f>
        <v>27</v>
      </c>
      <c r="D42" s="57">
        <f t="shared" si="1"/>
        <v>47925</v>
      </c>
      <c r="E42" s="44"/>
      <c r="F42" s="230"/>
      <c r="G42" s="231"/>
      <c r="H42" s="232"/>
      <c r="I42" s="244"/>
      <c r="J42" s="44"/>
      <c r="K42" s="44"/>
      <c r="L42" s="44"/>
      <c r="M42" s="44"/>
    </row>
    <row r="43" spans="1:18" ht="15" x14ac:dyDescent="0.2">
      <c r="A43" s="3" t="s">
        <v>13</v>
      </c>
      <c r="B43" s="102">
        <v>2005</v>
      </c>
      <c r="C43" s="63">
        <f>G32</f>
        <v>15</v>
      </c>
      <c r="D43" s="57">
        <f t="shared" si="1"/>
        <v>30075</v>
      </c>
      <c r="E43" s="44"/>
      <c r="F43" s="234" t="s">
        <v>14</v>
      </c>
      <c r="G43" s="234"/>
      <c r="H43" s="234"/>
      <c r="I43" s="57">
        <f>I39-I41</f>
        <v>71531.416600000026</v>
      </c>
      <c r="J43" s="44"/>
      <c r="K43" s="44"/>
      <c r="L43" s="44"/>
      <c r="M43" s="44"/>
    </row>
    <row r="44" spans="1:18" ht="39.75" customHeight="1" x14ac:dyDescent="0.2">
      <c r="A44" s="235"/>
      <c r="B44" s="236"/>
      <c r="C44" s="101">
        <f>SUM(C40:C43)</f>
        <v>100</v>
      </c>
      <c r="D44" s="4">
        <f>SUM(D40:D43)</f>
        <v>138404</v>
      </c>
      <c r="E44" s="44"/>
      <c r="F44" s="237" t="s">
        <v>81</v>
      </c>
      <c r="G44" s="238"/>
      <c r="H44" s="239"/>
      <c r="I44" s="2">
        <f>I43/C44</f>
        <v>715.31416600000023</v>
      </c>
      <c r="J44" s="44"/>
      <c r="K44" s="44"/>
      <c r="L44" s="44"/>
      <c r="M44" s="44"/>
    </row>
    <row r="45" spans="1:18" x14ac:dyDescent="0.2">
      <c r="A45" s="59"/>
      <c r="B45" s="59"/>
      <c r="C45" s="9"/>
      <c r="D45" s="32"/>
      <c r="E45" s="44"/>
      <c r="F45" s="44"/>
      <c r="G45" s="44"/>
      <c r="H45" s="44"/>
      <c r="I45" s="44"/>
      <c r="J45" s="44"/>
      <c r="K45" s="44"/>
      <c r="L45" s="44"/>
      <c r="M45" s="44"/>
    </row>
    <row r="46" spans="1:18" ht="15.75" thickBot="1" x14ac:dyDescent="0.25">
      <c r="A46" s="50" t="s">
        <v>74</v>
      </c>
      <c r="D46" s="9"/>
      <c r="E46" s="32"/>
      <c r="F46" s="44"/>
      <c r="G46" s="44"/>
      <c r="H46" s="44"/>
      <c r="I46" s="44"/>
      <c r="J46" s="10"/>
      <c r="K46" s="44"/>
      <c r="L46" s="44"/>
      <c r="M46" s="44"/>
      <c r="N46" s="44"/>
    </row>
    <row r="47" spans="1:18" ht="38.25" customHeight="1" thickBot="1" x14ac:dyDescent="0.25">
      <c r="A47" s="69"/>
      <c r="B47" s="59"/>
      <c r="C47" s="221" t="s">
        <v>66</v>
      </c>
      <c r="D47" s="222"/>
      <c r="E47" s="223"/>
      <c r="F47" s="44"/>
      <c r="G47" s="44"/>
      <c r="H47" s="44"/>
      <c r="I47" s="44"/>
      <c r="J47" s="10"/>
      <c r="K47" s="44"/>
      <c r="L47" s="44"/>
      <c r="M47" s="44"/>
      <c r="N47" s="44"/>
    </row>
    <row r="48" spans="1:18" s="60" customFormat="1" ht="96" x14ac:dyDescent="0.2">
      <c r="A48" s="1" t="s">
        <v>43</v>
      </c>
      <c r="B48" s="22" t="s">
        <v>26</v>
      </c>
      <c r="C48" s="116" t="s">
        <v>67</v>
      </c>
      <c r="D48" s="103" t="s">
        <v>68</v>
      </c>
      <c r="E48" s="133" t="s">
        <v>45</v>
      </c>
      <c r="F48" s="35" t="s">
        <v>44</v>
      </c>
      <c r="G48" s="26" t="s">
        <v>52</v>
      </c>
      <c r="H48" s="27" t="s">
        <v>53</v>
      </c>
      <c r="I48" s="129" t="s">
        <v>42</v>
      </c>
      <c r="J48" s="124" t="s">
        <v>71</v>
      </c>
      <c r="K48" s="95" t="s">
        <v>41</v>
      </c>
      <c r="L48" s="108" t="s">
        <v>72</v>
      </c>
      <c r="M48" s="109" t="s">
        <v>73</v>
      </c>
      <c r="N48" s="34"/>
      <c r="O48" s="61"/>
      <c r="P48" s="61"/>
      <c r="Q48" s="61"/>
      <c r="R48" s="61"/>
    </row>
    <row r="49" spans="1:18" x14ac:dyDescent="0.2">
      <c r="A49" s="3" t="s">
        <v>10</v>
      </c>
      <c r="B49" s="121">
        <f>C40</f>
        <v>26</v>
      </c>
      <c r="C49" s="52">
        <f>B40/30.42</f>
        <v>25.312294543063771</v>
      </c>
      <c r="D49" s="5">
        <f>I$44/30.42</f>
        <v>23.514601117685739</v>
      </c>
      <c r="E49" s="134">
        <f>C49+D49</f>
        <v>48.826895660749514</v>
      </c>
      <c r="F49" s="122">
        <f>B49*E49*30.42</f>
        <v>38618.168316000003</v>
      </c>
      <c r="G49" s="86">
        <f>$I$11</f>
        <v>31</v>
      </c>
      <c r="H49" s="126">
        <f>B49*(G49*30.42)</f>
        <v>24518.520000000004</v>
      </c>
      <c r="I49" s="91">
        <f>F49+H49</f>
        <v>63136.688316000007</v>
      </c>
      <c r="J49" s="93">
        <f>B40</f>
        <v>770</v>
      </c>
      <c r="K49" s="97">
        <f>J49*B49</f>
        <v>20020</v>
      </c>
      <c r="L49" s="110">
        <f>D49*30.42</f>
        <v>715.31416600000023</v>
      </c>
      <c r="M49" s="111">
        <f>(G49*30.42)+L49</f>
        <v>1658.3341660000003</v>
      </c>
      <c r="N49" s="10"/>
      <c r="O49" s="44"/>
      <c r="P49" s="44"/>
      <c r="Q49" s="44"/>
      <c r="R49" s="44"/>
    </row>
    <row r="50" spans="1:18" x14ac:dyDescent="0.2">
      <c r="A50" s="3" t="s">
        <v>11</v>
      </c>
      <c r="B50" s="121">
        <f t="shared" ref="B50:B52" si="2">C41</f>
        <v>32</v>
      </c>
      <c r="C50" s="52">
        <f>B41/30.42</f>
        <v>41.48586456278764</v>
      </c>
      <c r="D50" s="5">
        <f>I$44/30.42</f>
        <v>23.514601117685739</v>
      </c>
      <c r="E50" s="134">
        <f t="shared" ref="E50:E52" si="3">C50+D50</f>
        <v>65.000465680473383</v>
      </c>
      <c r="F50" s="122">
        <f>B50*E50*30.42</f>
        <v>63274.053312000011</v>
      </c>
      <c r="G50" s="86">
        <f>$I$11</f>
        <v>31</v>
      </c>
      <c r="H50" s="126">
        <f>B50*(G50*30.42)</f>
        <v>30176.640000000003</v>
      </c>
      <c r="I50" s="91">
        <f>F50+H50</f>
        <v>93450.693312000018</v>
      </c>
      <c r="J50" s="93">
        <f>B41</f>
        <v>1262</v>
      </c>
      <c r="K50" s="97">
        <f>J50*B50</f>
        <v>40384</v>
      </c>
      <c r="L50" s="110">
        <f t="shared" ref="L50:L52" si="4">D50*30.42</f>
        <v>715.31416600000023</v>
      </c>
      <c r="M50" s="111">
        <f>(G50*30.42)+L50</f>
        <v>1658.3341660000003</v>
      </c>
      <c r="N50" s="10"/>
      <c r="O50" s="44"/>
      <c r="P50" s="44"/>
      <c r="Q50" s="44"/>
      <c r="R50" s="44"/>
    </row>
    <row r="51" spans="1:18" x14ac:dyDescent="0.2">
      <c r="A51" s="3" t="s">
        <v>12</v>
      </c>
      <c r="B51" s="121">
        <f t="shared" si="2"/>
        <v>27</v>
      </c>
      <c r="C51" s="52">
        <f>B42/30.42</f>
        <v>58.349769888231421</v>
      </c>
      <c r="D51" s="5">
        <f>I$44/30.42</f>
        <v>23.514601117685739</v>
      </c>
      <c r="E51" s="134">
        <f t="shared" si="3"/>
        <v>81.864371005917164</v>
      </c>
      <c r="F51" s="122">
        <f>B51*E51*30.42</f>
        <v>67238.482482000007</v>
      </c>
      <c r="G51" s="86">
        <f>$I$11</f>
        <v>31</v>
      </c>
      <c r="H51" s="126">
        <f>B51*(G51*30.42)</f>
        <v>25461.54</v>
      </c>
      <c r="I51" s="91">
        <f>F51+H51</f>
        <v>92700.022482</v>
      </c>
      <c r="J51" s="93">
        <f>B42</f>
        <v>1775</v>
      </c>
      <c r="K51" s="97">
        <f>J51*B51</f>
        <v>47925</v>
      </c>
      <c r="L51" s="110">
        <f t="shared" si="4"/>
        <v>715.31416600000023</v>
      </c>
      <c r="M51" s="111">
        <f>(G51*30.42)+L51</f>
        <v>1658.3341660000003</v>
      </c>
      <c r="N51" s="10"/>
      <c r="O51" s="44"/>
      <c r="P51" s="44"/>
      <c r="Q51" s="44"/>
      <c r="R51" s="44"/>
    </row>
    <row r="52" spans="1:18" ht="15" thickBot="1" x14ac:dyDescent="0.25">
      <c r="A52" s="3" t="s">
        <v>13</v>
      </c>
      <c r="B52" s="121">
        <f t="shared" si="2"/>
        <v>15</v>
      </c>
      <c r="C52" s="117">
        <f>B43/30.42</f>
        <v>65.910585141354375</v>
      </c>
      <c r="D52" s="118">
        <f>I$44/30.42</f>
        <v>23.514601117685739</v>
      </c>
      <c r="E52" s="135">
        <f t="shared" si="3"/>
        <v>89.425186259040117</v>
      </c>
      <c r="F52" s="122">
        <f>B52*E52*30.42</f>
        <v>40804.712490000005</v>
      </c>
      <c r="G52" s="86">
        <f>$I$11</f>
        <v>31</v>
      </c>
      <c r="H52" s="126">
        <f>B52*(G52*30.42)</f>
        <v>14145.300000000001</v>
      </c>
      <c r="I52" s="91">
        <f>F52+H52</f>
        <v>54950.012490000008</v>
      </c>
      <c r="J52" s="93">
        <f>B43</f>
        <v>2005</v>
      </c>
      <c r="K52" s="97">
        <f>J52*B52</f>
        <v>30075</v>
      </c>
      <c r="L52" s="110">
        <f t="shared" si="4"/>
        <v>715.31416600000023</v>
      </c>
      <c r="M52" s="111">
        <f>(G52*30.42)+L52</f>
        <v>1658.3341660000003</v>
      </c>
      <c r="N52" s="10"/>
      <c r="O52" s="44"/>
      <c r="P52" s="44"/>
      <c r="Q52" s="44"/>
      <c r="R52" s="44"/>
    </row>
    <row r="53" spans="1:18" ht="15.75" thickBot="1" x14ac:dyDescent="0.25">
      <c r="A53" s="3"/>
      <c r="B53" s="64"/>
      <c r="C53" s="114"/>
      <c r="D53" s="115"/>
      <c r="E53" s="119"/>
      <c r="F53" s="123">
        <f>SUM(F49:F52)</f>
        <v>209935.41660000003</v>
      </c>
      <c r="G53" s="127"/>
      <c r="H53" s="128">
        <f>SUM(H49:H52)</f>
        <v>94302.000000000015</v>
      </c>
      <c r="I53" s="130">
        <f>SUM(I49:I52)</f>
        <v>304237.41660000006</v>
      </c>
      <c r="J53" s="125"/>
      <c r="K53" s="92">
        <f>K49+K50+K51+K52</f>
        <v>138404</v>
      </c>
      <c r="L53" s="59"/>
      <c r="M53" s="59"/>
      <c r="N53" s="149"/>
      <c r="O53" s="44"/>
    </row>
    <row r="54" spans="1:18" ht="23.25" thickBot="1" x14ac:dyDescent="0.25">
      <c r="A54" s="33"/>
      <c r="B54" s="59"/>
      <c r="C54" s="9"/>
      <c r="D54" s="59"/>
      <c r="E54" s="44"/>
      <c r="F54" s="120" t="s">
        <v>69</v>
      </c>
      <c r="G54" s="59"/>
      <c r="H54" s="59"/>
      <c r="I54" s="59"/>
      <c r="J54" s="59"/>
      <c r="K54" s="148"/>
      <c r="L54" s="59"/>
      <c r="M54" s="59"/>
      <c r="N54" s="59"/>
      <c r="O54" s="59"/>
    </row>
    <row r="55" spans="1:18" x14ac:dyDescent="0.2">
      <c r="A55" s="33"/>
      <c r="B55" s="59"/>
      <c r="C55" s="9"/>
      <c r="D55" s="59"/>
      <c r="E55" s="44"/>
      <c r="F55" s="59"/>
      <c r="G55" s="59"/>
      <c r="H55" s="59"/>
      <c r="I55" s="59"/>
      <c r="J55" s="59"/>
      <c r="K55" s="59"/>
      <c r="L55" s="59"/>
      <c r="M55" s="59"/>
    </row>
    <row r="56" spans="1:18" x14ac:dyDescent="0.2">
      <c r="A56" s="33"/>
      <c r="B56" s="59"/>
      <c r="C56" s="9"/>
      <c r="D56" s="59"/>
      <c r="E56" s="44"/>
      <c r="F56" s="59"/>
      <c r="G56" s="59"/>
      <c r="H56" s="59"/>
      <c r="I56" s="59"/>
      <c r="J56" s="59"/>
      <c r="K56" s="59"/>
      <c r="L56" s="59"/>
      <c r="M56" s="59"/>
    </row>
    <row r="57" spans="1:18" ht="15" x14ac:dyDescent="0.2">
      <c r="A57" s="224" t="s">
        <v>97</v>
      </c>
      <c r="B57" s="224"/>
      <c r="C57" s="224"/>
      <c r="D57" s="224"/>
      <c r="E57" s="224"/>
      <c r="F57" s="66"/>
      <c r="G57" s="66"/>
      <c r="H57" s="67"/>
      <c r="I57" s="67"/>
      <c r="J57" s="66"/>
      <c r="K57" s="66"/>
      <c r="L57" s="66"/>
      <c r="M57" s="66"/>
    </row>
    <row r="58" spans="1:18" s="60" customFormat="1" ht="51" x14ac:dyDescent="0.2">
      <c r="A58" s="1" t="s">
        <v>35</v>
      </c>
      <c r="B58" s="158" t="s">
        <v>21</v>
      </c>
      <c r="C58" s="158" t="s">
        <v>79</v>
      </c>
      <c r="D58" s="158" t="s">
        <v>22</v>
      </c>
      <c r="E58" s="159" t="s">
        <v>80</v>
      </c>
      <c r="F58" s="66"/>
      <c r="G58" s="172" t="s">
        <v>98</v>
      </c>
      <c r="H58" s="1" t="s">
        <v>16</v>
      </c>
      <c r="I58" s="157" t="s">
        <v>99</v>
      </c>
      <c r="J58" s="169" t="s">
        <v>100</v>
      </c>
      <c r="K58" s="1" t="s">
        <v>77</v>
      </c>
      <c r="L58" s="138" t="s">
        <v>78</v>
      </c>
      <c r="M58" s="138" t="s">
        <v>76</v>
      </c>
      <c r="N58" s="139"/>
      <c r="O58" s="139"/>
    </row>
    <row r="59" spans="1:18" ht="15" x14ac:dyDescent="0.2">
      <c r="A59" s="175" t="s">
        <v>3</v>
      </c>
      <c r="B59" s="160">
        <f>E15</f>
        <v>39.46</v>
      </c>
      <c r="C59" s="161">
        <f>D15</f>
        <v>1</v>
      </c>
      <c r="D59" s="161">
        <v>30.42</v>
      </c>
      <c r="E59" s="162">
        <f>(B59*C59)*D59</f>
        <v>1200.3732</v>
      </c>
      <c r="F59" s="66"/>
      <c r="G59" s="173"/>
      <c r="H59" s="68"/>
      <c r="J59" s="170"/>
      <c r="K59" s="167"/>
      <c r="L59" s="136"/>
      <c r="M59" s="136"/>
      <c r="N59" s="66"/>
      <c r="O59" s="66"/>
    </row>
    <row r="60" spans="1:18" ht="15" x14ac:dyDescent="0.25">
      <c r="A60" s="176" t="s">
        <v>4</v>
      </c>
      <c r="B60" s="163">
        <f>E16</f>
        <v>54.58</v>
      </c>
      <c r="C60" s="164">
        <f>D16</f>
        <v>42</v>
      </c>
      <c r="D60" s="164">
        <f>D59</f>
        <v>30.42</v>
      </c>
      <c r="E60" s="162">
        <f>(B60*C60)*D60</f>
        <v>69733.59120000001</v>
      </c>
      <c r="F60" s="66"/>
      <c r="G60" s="174" t="s">
        <v>17</v>
      </c>
      <c r="H60" s="68">
        <f>B49</f>
        <v>26</v>
      </c>
      <c r="I60" s="8">
        <f>E49</f>
        <v>48.826895660749514</v>
      </c>
      <c r="J60" s="171">
        <f>$I$44/30.42</f>
        <v>23.514601117685739</v>
      </c>
      <c r="K60" s="167">
        <v>770</v>
      </c>
      <c r="L60" s="136">
        <f>H60*K60</f>
        <v>20020</v>
      </c>
      <c r="M60" s="136">
        <f>H60*$I$44</f>
        <v>18598.168316000007</v>
      </c>
      <c r="N60" s="66"/>
      <c r="O60" s="66"/>
    </row>
    <row r="61" spans="1:18" ht="15" x14ac:dyDescent="0.25">
      <c r="A61" s="176" t="s">
        <v>5</v>
      </c>
      <c r="B61" s="163">
        <f>E17</f>
        <v>74.89</v>
      </c>
      <c r="C61" s="164">
        <f>D17</f>
        <v>38</v>
      </c>
      <c r="D61" s="164">
        <f>D59</f>
        <v>30.42</v>
      </c>
      <c r="E61" s="162">
        <f t="shared" ref="E61:E63" si="5">(B61*C61)*D61</f>
        <v>86569.844400000016</v>
      </c>
      <c r="F61" s="66"/>
      <c r="G61" s="174" t="s">
        <v>18</v>
      </c>
      <c r="H61" s="68">
        <f>B50</f>
        <v>32</v>
      </c>
      <c r="I61" s="8">
        <f>E50</f>
        <v>65.000465680473383</v>
      </c>
      <c r="J61" s="171">
        <f>$I$44/30.42</f>
        <v>23.514601117685739</v>
      </c>
      <c r="K61" s="167">
        <v>1262</v>
      </c>
      <c r="L61" s="65">
        <f>H61*K61</f>
        <v>40384</v>
      </c>
      <c r="M61" s="136">
        <f>H61*$I$44</f>
        <v>22890.053312000007</v>
      </c>
      <c r="N61" s="66"/>
      <c r="O61" s="66"/>
    </row>
    <row r="62" spans="1:18" ht="15" x14ac:dyDescent="0.25">
      <c r="A62" s="176" t="s">
        <v>6</v>
      </c>
      <c r="B62" s="163">
        <f>E18</f>
        <v>89.39</v>
      </c>
      <c r="C62" s="164">
        <f>D18</f>
        <v>17</v>
      </c>
      <c r="D62" s="164">
        <f>D59</f>
        <v>30.42</v>
      </c>
      <c r="E62" s="162">
        <f t="shared" si="5"/>
        <v>46227.144600000007</v>
      </c>
      <c r="F62" s="66"/>
      <c r="G62" s="174" t="s">
        <v>19</v>
      </c>
      <c r="H62" s="68">
        <f>B51</f>
        <v>27</v>
      </c>
      <c r="I62" s="8">
        <f>E51</f>
        <v>81.864371005917164</v>
      </c>
      <c r="J62" s="171">
        <f>$I$44/30.42</f>
        <v>23.514601117685739</v>
      </c>
      <c r="K62" s="167">
        <v>1775</v>
      </c>
      <c r="L62" s="65">
        <f>H62*K62</f>
        <v>47925</v>
      </c>
      <c r="M62" s="136">
        <f>H62*$I$44</f>
        <v>19313.482482000007</v>
      </c>
      <c r="N62" s="66"/>
      <c r="O62" s="66"/>
    </row>
    <row r="63" spans="1:18" ht="15" x14ac:dyDescent="0.25">
      <c r="A63" s="176" t="s">
        <v>15</v>
      </c>
      <c r="B63" s="163">
        <f>E19</f>
        <v>101.98</v>
      </c>
      <c r="C63" s="164">
        <f>D19</f>
        <v>2</v>
      </c>
      <c r="D63" s="164">
        <v>30.42</v>
      </c>
      <c r="E63" s="162">
        <f t="shared" si="5"/>
        <v>6204.4632000000001</v>
      </c>
      <c r="F63" s="66"/>
      <c r="G63" s="174" t="s">
        <v>20</v>
      </c>
      <c r="H63" s="68">
        <f>B52</f>
        <v>15</v>
      </c>
      <c r="I63" s="8">
        <f>E52</f>
        <v>89.425186259040117</v>
      </c>
      <c r="J63" s="171">
        <f>$I$44/30.42</f>
        <v>23.514601117685739</v>
      </c>
      <c r="K63" s="167">
        <v>2005</v>
      </c>
      <c r="L63" s="65">
        <f>H63*K63</f>
        <v>30075</v>
      </c>
      <c r="M63" s="136">
        <f>H63*$I$44</f>
        <v>10729.712490000004</v>
      </c>
      <c r="O63" s="66"/>
    </row>
    <row r="64" spans="1:18" x14ac:dyDescent="0.2">
      <c r="A64" s="225"/>
      <c r="B64" s="226"/>
      <c r="C64" s="165">
        <f>SUM(C59:C63)</f>
        <v>100</v>
      </c>
      <c r="D64" s="66"/>
      <c r="E64" s="166">
        <f>SUM(E59:E63)</f>
        <v>209935.41660000003</v>
      </c>
      <c r="F64" s="66"/>
      <c r="G64" s="70"/>
      <c r="H64" s="6">
        <f>SUM(H60:H63)</f>
        <v>100</v>
      </c>
      <c r="I64" s="66"/>
      <c r="J64" s="66"/>
      <c r="K64" s="66"/>
      <c r="L64" s="7">
        <f>SUM(L60:L63)</f>
        <v>138404</v>
      </c>
      <c r="M64" s="7">
        <f>SUM(M60:M63)</f>
        <v>71531.416600000026</v>
      </c>
      <c r="O64" s="66"/>
    </row>
    <row r="65" spans="1:13" x14ac:dyDescent="0.2">
      <c r="A65" s="66"/>
      <c r="B65" s="66"/>
      <c r="C65" s="66"/>
      <c r="D65" s="66"/>
      <c r="E65" s="66"/>
      <c r="F65" s="66"/>
      <c r="G65" s="66"/>
      <c r="H65" s="66"/>
      <c r="I65" s="66"/>
      <c r="J65" s="66"/>
      <c r="L65" s="168" t="s">
        <v>23</v>
      </c>
      <c r="M65" s="137">
        <f>L64+M64</f>
        <v>209935.41660000003</v>
      </c>
    </row>
    <row r="67" spans="1:13" ht="15.75" thickBot="1" x14ac:dyDescent="0.3">
      <c r="A67" s="150" t="s">
        <v>103</v>
      </c>
      <c r="B67"/>
      <c r="C67"/>
      <c r="D67"/>
      <c r="E67"/>
      <c r="F67"/>
      <c r="G67"/>
      <c r="H67"/>
      <c r="I67"/>
    </row>
    <row r="68" spans="1:13" ht="76.5" x14ac:dyDescent="0.2">
      <c r="A68" s="151" t="s">
        <v>34</v>
      </c>
      <c r="B68" s="249" t="s">
        <v>45</v>
      </c>
      <c r="C68" s="250" t="s">
        <v>104</v>
      </c>
      <c r="D68" s="177" t="s">
        <v>101</v>
      </c>
      <c r="E68" s="154" t="s">
        <v>82</v>
      </c>
      <c r="F68" s="181" t="s">
        <v>92</v>
      </c>
      <c r="G68" s="184" t="s">
        <v>102</v>
      </c>
      <c r="H68" s="185" t="s">
        <v>83</v>
      </c>
      <c r="I68" s="188" t="s">
        <v>84</v>
      </c>
      <c r="J68" s="189" t="s">
        <v>91</v>
      </c>
      <c r="K68" s="193" t="s">
        <v>93</v>
      </c>
      <c r="L68" s="194" t="s">
        <v>85</v>
      </c>
    </row>
    <row r="69" spans="1:13" ht="15" x14ac:dyDescent="0.25">
      <c r="A69" s="152" t="s">
        <v>29</v>
      </c>
      <c r="B69" s="251"/>
      <c r="C69" s="252"/>
      <c r="D69" s="178"/>
      <c r="E69" s="155"/>
      <c r="F69" s="182">
        <v>0.78</v>
      </c>
      <c r="G69" s="186">
        <v>125</v>
      </c>
      <c r="H69" s="256">
        <f>G69/G70</f>
        <v>0.16233766233766234</v>
      </c>
      <c r="I69" s="190" t="s">
        <v>86</v>
      </c>
      <c r="J69" s="257">
        <v>0.53020134228187921</v>
      </c>
      <c r="K69" s="196">
        <v>58</v>
      </c>
      <c r="L69" s="258">
        <f>K69/K70</f>
        <v>0.81690140845070425</v>
      </c>
    </row>
    <row r="70" spans="1:13" ht="15" x14ac:dyDescent="0.25">
      <c r="A70" s="248" t="s">
        <v>17</v>
      </c>
      <c r="B70" s="263">
        <f>I60</f>
        <v>48.826895660749514</v>
      </c>
      <c r="C70" s="253">
        <v>1</v>
      </c>
      <c r="D70" s="178">
        <v>689</v>
      </c>
      <c r="E70" s="255">
        <v>1</v>
      </c>
      <c r="F70" s="182">
        <v>1</v>
      </c>
      <c r="G70" s="186">
        <v>770</v>
      </c>
      <c r="H70" s="256">
        <v>1</v>
      </c>
      <c r="I70" s="191" t="s">
        <v>87</v>
      </c>
      <c r="J70" s="257">
        <v>1</v>
      </c>
      <c r="K70" s="195">
        <v>71</v>
      </c>
      <c r="L70" s="258">
        <v>1</v>
      </c>
    </row>
    <row r="71" spans="1:13" ht="15" x14ac:dyDescent="0.25">
      <c r="A71" s="152" t="s">
        <v>18</v>
      </c>
      <c r="B71" s="263">
        <f>I61</f>
        <v>65.000465680473383</v>
      </c>
      <c r="C71" s="253">
        <f>B71/B70</f>
        <v>1.3312430536665332</v>
      </c>
      <c r="D71" s="179">
        <v>1298</v>
      </c>
      <c r="E71" s="255">
        <f>D71/D70</f>
        <v>1.88388969521045</v>
      </c>
      <c r="F71" s="182">
        <v>1.36</v>
      </c>
      <c r="G71" s="186">
        <v>1262</v>
      </c>
      <c r="H71" s="256">
        <f>G71/G70</f>
        <v>1.638961038961039</v>
      </c>
      <c r="I71" s="190" t="s">
        <v>88</v>
      </c>
      <c r="J71" s="257">
        <v>1.5771812080536913</v>
      </c>
      <c r="K71" s="196">
        <v>92</v>
      </c>
      <c r="L71" s="258">
        <f>K71/K70</f>
        <v>1.295774647887324</v>
      </c>
    </row>
    <row r="72" spans="1:13" ht="15" x14ac:dyDescent="0.25">
      <c r="A72" s="152" t="s">
        <v>19</v>
      </c>
      <c r="B72" s="263">
        <f>I62</f>
        <v>81.864371005917164</v>
      </c>
      <c r="C72" s="253">
        <f>B72/B70</f>
        <v>1.6766245303554184</v>
      </c>
      <c r="D72" s="179">
        <v>1612</v>
      </c>
      <c r="E72" s="255">
        <f>D72/D70</f>
        <v>2.3396226415094339</v>
      </c>
      <c r="F72" s="182">
        <v>1.74</v>
      </c>
      <c r="G72" s="186">
        <v>1775</v>
      </c>
      <c r="H72" s="256">
        <f>G72/G70</f>
        <v>2.3051948051948052</v>
      </c>
      <c r="I72" s="190" t="s">
        <v>89</v>
      </c>
      <c r="J72" s="257">
        <v>2.1476510067114094</v>
      </c>
      <c r="K72" s="196">
        <v>125</v>
      </c>
      <c r="L72" s="258">
        <f>K72/K70</f>
        <v>1.7605633802816902</v>
      </c>
    </row>
    <row r="73" spans="1:13" ht="15.75" thickBot="1" x14ac:dyDescent="0.3">
      <c r="A73" s="153" t="s">
        <v>20</v>
      </c>
      <c r="B73" s="264">
        <f>I63</f>
        <v>89.425186259040117</v>
      </c>
      <c r="C73" s="254">
        <f>B73/B70</f>
        <v>1.831473925362131</v>
      </c>
      <c r="D73" s="180">
        <v>1995</v>
      </c>
      <c r="E73" s="262">
        <f>D73/D70</f>
        <v>2.8955007256894048</v>
      </c>
      <c r="F73" s="183">
        <v>1.91</v>
      </c>
      <c r="G73" s="187">
        <v>2005</v>
      </c>
      <c r="H73" s="261">
        <f>G73/G70</f>
        <v>2.6038961038961039</v>
      </c>
      <c r="I73" s="192" t="s">
        <v>90</v>
      </c>
      <c r="J73" s="260">
        <v>2.5503355704697985</v>
      </c>
      <c r="K73" s="197">
        <v>160</v>
      </c>
      <c r="L73" s="259">
        <f>K73/K70</f>
        <v>2.2535211267605635</v>
      </c>
    </row>
  </sheetData>
  <scenarios current="0" show="0" sqref="I44">
    <scenario name="Gem PflegeStat 2014" locked="1" count="10" user="Dr. Zobel" comment="Erstellt von Dr. Zobel am 02.11.2015">
      <inputCells r="B15" val=""/>
      <inputCells r="C15" val="2"/>
      <inputCells r="B16" val="30"/>
      <inputCells r="C16" val="12"/>
      <inputCells r="B17" val="20"/>
      <inputCells r="C17" val="18"/>
      <inputCells r="B18" val="14"/>
      <inputCells r="C18" val="3"/>
      <inputCells r="B19" val="1"/>
      <inputCells r="C19" val="1"/>
    </scenario>
  </scenarios>
  <mergeCells count="37">
    <mergeCell ref="B3:M3"/>
    <mergeCell ref="A64:B64"/>
    <mergeCell ref="F41:H42"/>
    <mergeCell ref="G26:G27"/>
    <mergeCell ref="G28:G29"/>
    <mergeCell ref="E30:E31"/>
    <mergeCell ref="G30:G31"/>
    <mergeCell ref="A31:A32"/>
    <mergeCell ref="A35:B35"/>
    <mergeCell ref="F35:G35"/>
    <mergeCell ref="F43:H43"/>
    <mergeCell ref="A44:B44"/>
    <mergeCell ref="F44:H44"/>
    <mergeCell ref="F38:I38"/>
    <mergeCell ref="F39:H40"/>
    <mergeCell ref="I39:I40"/>
    <mergeCell ref="I41:I42"/>
    <mergeCell ref="A27:A28"/>
    <mergeCell ref="E28:E29"/>
    <mergeCell ref="A29:A30"/>
    <mergeCell ref="C47:E47"/>
    <mergeCell ref="A57:E57"/>
    <mergeCell ref="A33:A34"/>
    <mergeCell ref="E32:E34"/>
    <mergeCell ref="G32:G34"/>
    <mergeCell ref="A1:M1"/>
    <mergeCell ref="A2:M2"/>
    <mergeCell ref="F8:H8"/>
    <mergeCell ref="F7:H7"/>
    <mergeCell ref="F5:I5"/>
    <mergeCell ref="F6:H6"/>
    <mergeCell ref="F12:H12"/>
    <mergeCell ref="F11:H11"/>
    <mergeCell ref="F10:H10"/>
    <mergeCell ref="F9:H9"/>
    <mergeCell ref="A25:A26"/>
    <mergeCell ref="E26:E27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headerFooter>
    <oddFooter>&amp;A&amp;RSeite &amp;P</oddFooter>
  </headerFooter>
  <rowBreaks count="2" manualBreakCount="2">
    <brk id="22" max="12" man="1"/>
    <brk id="45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PSG II - Überleitung Stat</vt:lpstr>
      <vt:lpstr>'PSG II - Überleitung Stat'!Druckbereich</vt:lpstr>
    </vt:vector>
  </TitlesOfParts>
  <Company>Logiway Volumen Lizenz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Oliver Zobel</dc:creator>
  <cp:lastModifiedBy>Dr. Zobel</cp:lastModifiedBy>
  <cp:lastPrinted>2015-11-03T08:09:45Z</cp:lastPrinted>
  <dcterms:created xsi:type="dcterms:W3CDTF">2015-11-02T11:45:44Z</dcterms:created>
  <dcterms:modified xsi:type="dcterms:W3CDTF">2015-11-03T08:10:09Z</dcterms:modified>
</cp:coreProperties>
</file>